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3" activeTab="8"/>
  </bookViews>
  <sheets>
    <sheet name="1-й уч. ситники" sheetId="6" r:id="rId1"/>
    <sheet name="п.сит. ул.центральная" sheetId="8" r:id="rId2"/>
    <sheet name="п.жел. ул.ценртальная" sheetId="7" r:id="rId3"/>
    <sheet name="киселихинский госпиталь" sheetId="5" r:id="rId4"/>
    <sheet name="вокзальная" sheetId="9" r:id="rId5"/>
    <sheet name="садовая" sheetId="4" r:id="rId6"/>
    <sheet name="приречный" sheetId="3" r:id="rId7"/>
    <sheet name="октябрьская" sheetId="2" r:id="rId8"/>
    <sheet name="общежития" sheetId="10" r:id="rId9"/>
    <sheet name="новостройка" sheetId="1" r:id="rId10"/>
  </sheets>
  <calcPr calcId="144525"/>
</workbook>
</file>

<file path=xl/calcChain.xml><?xml version="1.0" encoding="utf-8"?>
<calcChain xmlns="http://schemas.openxmlformats.org/spreadsheetml/2006/main">
  <c r="B207" i="5" l="1"/>
  <c r="D208" i="5" s="1"/>
  <c r="C207" i="5"/>
  <c r="D207" i="5"/>
  <c r="B256" i="5"/>
  <c r="D257" i="5" s="1"/>
  <c r="C256" i="5"/>
  <c r="D256" i="5"/>
  <c r="B305" i="5"/>
  <c r="D306" i="5" s="1"/>
  <c r="C305" i="5"/>
  <c r="D305" i="5"/>
  <c r="B354" i="5"/>
  <c r="D355" i="5" s="1"/>
  <c r="C354" i="5"/>
  <c r="D354" i="5"/>
  <c r="S87" i="10" l="1"/>
  <c r="S49" i="10"/>
  <c r="E58" i="10" s="1"/>
  <c r="T11" i="10"/>
  <c r="E13" i="10" s="1"/>
  <c r="E105" i="10" l="1"/>
  <c r="R53" i="10"/>
  <c r="R17" i="10"/>
  <c r="D14" i="10" s="1"/>
  <c r="R101" i="10"/>
  <c r="D106" i="10" s="1"/>
  <c r="L49" i="10"/>
  <c r="L87" i="10"/>
  <c r="P87" i="10"/>
  <c r="O87" i="10"/>
  <c r="N87" i="10" s="1"/>
  <c r="P49" i="10"/>
  <c r="O49" i="10"/>
  <c r="P11" i="10"/>
  <c r="O11" i="10"/>
  <c r="N49" i="10" l="1"/>
  <c r="N11" i="10"/>
  <c r="E59" i="10"/>
  <c r="D59" i="10"/>
  <c r="M49" i="10"/>
  <c r="M11" i="10"/>
  <c r="L11" i="10"/>
  <c r="M87" i="10"/>
  <c r="C105" i="10" l="1"/>
  <c r="B105" i="10"/>
  <c r="C58" i="10"/>
  <c r="B58" i="10"/>
  <c r="C13" i="10"/>
  <c r="B13" i="10"/>
  <c r="L805" i="1"/>
  <c r="C1090" i="1" s="1"/>
  <c r="K805" i="1"/>
  <c r="B1090" i="1" s="1"/>
  <c r="M805" i="1"/>
  <c r="D1090" i="1" s="1"/>
  <c r="L769" i="1"/>
  <c r="C1041" i="1" s="1"/>
  <c r="K769" i="1"/>
  <c r="B1041" i="1" s="1"/>
  <c r="M769" i="1"/>
  <c r="D1041" i="1" s="1"/>
  <c r="L731" i="1"/>
  <c r="C992" i="1" s="1"/>
  <c r="K731" i="1"/>
  <c r="B992" i="1" s="1"/>
  <c r="M731" i="1"/>
  <c r="D992" i="1" s="1"/>
  <c r="L695" i="1"/>
  <c r="C943" i="1" s="1"/>
  <c r="K695" i="1"/>
  <c r="B943" i="1" s="1"/>
  <c r="M695" i="1"/>
  <c r="D943" i="1" s="1"/>
  <c r="L658" i="1"/>
  <c r="C894" i="1" s="1"/>
  <c r="K658" i="1"/>
  <c r="B894" i="1" s="1"/>
  <c r="M658" i="1"/>
  <c r="D894" i="1" s="1"/>
  <c r="L621" i="1"/>
  <c r="C845" i="1" s="1"/>
  <c r="K621" i="1"/>
  <c r="B845" i="1" s="1"/>
  <c r="M621" i="1"/>
  <c r="D845" i="1" s="1"/>
  <c r="L586" i="1"/>
  <c r="C796" i="1" s="1"/>
  <c r="K586" i="1"/>
  <c r="B796" i="1" s="1"/>
  <c r="M586" i="1"/>
  <c r="D796" i="1" s="1"/>
  <c r="L550" i="1"/>
  <c r="C747" i="1" s="1"/>
  <c r="K550" i="1"/>
  <c r="B747" i="1" s="1"/>
  <c r="M550" i="1"/>
  <c r="D747" i="1" s="1"/>
  <c r="L515" i="1"/>
  <c r="C698" i="1" s="1"/>
  <c r="K515" i="1"/>
  <c r="B698" i="1" s="1"/>
  <c r="M515" i="1"/>
  <c r="D698" i="1" s="1"/>
  <c r="L479" i="1"/>
  <c r="C649" i="1" s="1"/>
  <c r="K479" i="1"/>
  <c r="B649" i="1" s="1"/>
  <c r="M479" i="1"/>
  <c r="D649" i="1" s="1"/>
  <c r="L444" i="1"/>
  <c r="C600" i="1" s="1"/>
  <c r="K444" i="1"/>
  <c r="B600" i="1" s="1"/>
  <c r="M444" i="1"/>
  <c r="D600" i="1" s="1"/>
  <c r="L406" i="1"/>
  <c r="C551" i="1" s="1"/>
  <c r="K406" i="1"/>
  <c r="B551" i="1" s="1"/>
  <c r="M406" i="1"/>
  <c r="D551" i="1" s="1"/>
  <c r="L370" i="1"/>
  <c r="C502" i="1" s="1"/>
  <c r="K370" i="1"/>
  <c r="B502" i="1" s="1"/>
  <c r="M370" i="1"/>
  <c r="D502" i="1" s="1"/>
  <c r="L334" i="1"/>
  <c r="C453" i="1" s="1"/>
  <c r="K334" i="1"/>
  <c r="B453" i="1" s="1"/>
  <c r="M334" i="1"/>
  <c r="D453" i="1" s="1"/>
  <c r="L298" i="1"/>
  <c r="C404" i="1" s="1"/>
  <c r="K298" i="1"/>
  <c r="B404" i="1" s="1"/>
  <c r="M298" i="1"/>
  <c r="D404" i="1" s="1"/>
  <c r="L262" i="1"/>
  <c r="C355" i="1" s="1"/>
  <c r="K262" i="1"/>
  <c r="B355" i="1" s="1"/>
  <c r="M262" i="1"/>
  <c r="D355" i="1" s="1"/>
  <c r="L225" i="1"/>
  <c r="C306" i="1" s="1"/>
  <c r="K225" i="1"/>
  <c r="B306" i="1" s="1"/>
  <c r="M225" i="1"/>
  <c r="D306" i="1" s="1"/>
  <c r="L189" i="1"/>
  <c r="C257" i="1" s="1"/>
  <c r="K189" i="1"/>
  <c r="B257" i="1" s="1"/>
  <c r="M189" i="1"/>
  <c r="D257" i="1" s="1"/>
  <c r="L154" i="1"/>
  <c r="C208" i="1" s="1"/>
  <c r="K154" i="1"/>
  <c r="B208" i="1" s="1"/>
  <c r="M154" i="1"/>
  <c r="D208" i="1" s="1"/>
  <c r="L118" i="1"/>
  <c r="C159" i="1" s="1"/>
  <c r="K118" i="1"/>
  <c r="B159" i="1" s="1"/>
  <c r="M118" i="1"/>
  <c r="D159" i="1" s="1"/>
  <c r="L82" i="1"/>
  <c r="C110" i="1" s="1"/>
  <c r="K82" i="1"/>
  <c r="B110" i="1" s="1"/>
  <c r="M82" i="1"/>
  <c r="D110" i="1" s="1"/>
  <c r="L46" i="1"/>
  <c r="C61" i="1" s="1"/>
  <c r="K46" i="1"/>
  <c r="B61" i="1" s="1"/>
  <c r="M46" i="1"/>
  <c r="D61" i="1" s="1"/>
  <c r="L10" i="1"/>
  <c r="C12" i="1" s="1"/>
  <c r="K10" i="1"/>
  <c r="B12" i="1" s="1"/>
  <c r="M10" i="1"/>
  <c r="D12" i="1" s="1"/>
  <c r="D13" i="10" l="1"/>
  <c r="E15" i="10" s="1"/>
  <c r="D105" i="10"/>
  <c r="E107" i="10" s="1"/>
  <c r="D58" i="10"/>
  <c r="E60" i="10" s="1"/>
  <c r="D895" i="1"/>
  <c r="D258" i="1"/>
  <c r="D13" i="1"/>
  <c r="D111" i="1"/>
  <c r="D1091" i="1"/>
  <c r="D1042" i="1"/>
  <c r="D993" i="1"/>
  <c r="D944" i="1"/>
  <c r="D846" i="1"/>
  <c r="D797" i="1"/>
  <c r="D748" i="1"/>
  <c r="D699" i="1"/>
  <c r="D650" i="1"/>
  <c r="D601" i="1"/>
  <c r="D552" i="1"/>
  <c r="D503" i="1"/>
  <c r="D454" i="1"/>
  <c r="D405" i="1"/>
  <c r="D356" i="1"/>
  <c r="D307" i="1"/>
  <c r="D209" i="1"/>
  <c r="D160" i="1"/>
  <c r="D62" i="1"/>
  <c r="K189" i="2"/>
  <c r="B257" i="2" s="1"/>
  <c r="L225" i="2"/>
  <c r="C306" i="2" s="1"/>
  <c r="K225" i="2"/>
  <c r="B306" i="2" s="1"/>
  <c r="M225" i="2"/>
  <c r="D306" i="2" s="1"/>
  <c r="L189" i="2"/>
  <c r="C257" i="2" s="1"/>
  <c r="M189" i="2"/>
  <c r="D257" i="2" s="1"/>
  <c r="L154" i="2"/>
  <c r="C208" i="2" s="1"/>
  <c r="K154" i="2"/>
  <c r="B208" i="2" s="1"/>
  <c r="M154" i="2"/>
  <c r="D208" i="2" s="1"/>
  <c r="L118" i="2"/>
  <c r="C159" i="2" s="1"/>
  <c r="K118" i="2"/>
  <c r="B159" i="2" s="1"/>
  <c r="M118" i="2"/>
  <c r="D159" i="2" s="1"/>
  <c r="L82" i="2"/>
  <c r="C110" i="2" s="1"/>
  <c r="K82" i="2"/>
  <c r="B110" i="2" s="1"/>
  <c r="M82" i="2"/>
  <c r="D110" i="2" s="1"/>
  <c r="L47" i="2"/>
  <c r="C61" i="2" s="1"/>
  <c r="K47" i="2"/>
  <c r="B61" i="2" s="1"/>
  <c r="M47" i="2"/>
  <c r="D61" i="2" s="1"/>
  <c r="L11" i="2"/>
  <c r="C12" i="2" s="1"/>
  <c r="K11" i="2"/>
  <c r="B12" i="2" s="1"/>
  <c r="M11" i="2"/>
  <c r="D12" i="2" s="1"/>
  <c r="L11" i="3"/>
  <c r="C12" i="3" s="1"/>
  <c r="K11" i="3"/>
  <c r="B12" i="3" s="1"/>
  <c r="M11" i="3"/>
  <c r="D12" i="3" s="1"/>
  <c r="L59" i="4"/>
  <c r="C61" i="4" s="1"/>
  <c r="K59" i="4"/>
  <c r="B61" i="4" s="1"/>
  <c r="M59" i="4"/>
  <c r="D61" i="4" s="1"/>
  <c r="L22" i="4"/>
  <c r="C12" i="4" s="1"/>
  <c r="K22" i="4"/>
  <c r="B12" i="4" s="1"/>
  <c r="M22" i="4"/>
  <c r="D12" i="4" s="1"/>
  <c r="L152" i="9"/>
  <c r="C208" i="9" s="1"/>
  <c r="K152" i="9"/>
  <c r="B208" i="9" s="1"/>
  <c r="M152" i="9"/>
  <c r="D208" i="9" s="1"/>
  <c r="L116" i="9"/>
  <c r="C159" i="9" s="1"/>
  <c r="K116" i="9"/>
  <c r="B159" i="9" s="1"/>
  <c r="M116" i="9"/>
  <c r="D159" i="9" s="1"/>
  <c r="L81" i="9"/>
  <c r="C110" i="9" s="1"/>
  <c r="K81" i="9"/>
  <c r="B110" i="9" s="1"/>
  <c r="M81" i="9"/>
  <c r="D110" i="9" s="1"/>
  <c r="L46" i="9"/>
  <c r="C61" i="9" s="1"/>
  <c r="K46" i="9"/>
  <c r="B61" i="9" s="1"/>
  <c r="M46" i="9"/>
  <c r="D61" i="9" s="1"/>
  <c r="L11" i="9"/>
  <c r="C12" i="9" s="1"/>
  <c r="K11" i="9"/>
  <c r="B12" i="9" s="1"/>
  <c r="M11" i="9"/>
  <c r="D12" i="9" s="1"/>
  <c r="D13" i="4" l="1"/>
  <c r="D307" i="2"/>
  <c r="D258" i="2"/>
  <c r="D209" i="2"/>
  <c r="D160" i="2"/>
  <c r="D111" i="2"/>
  <c r="D62" i="2"/>
  <c r="D13" i="2"/>
  <c r="D13" i="3"/>
  <c r="D62" i="4"/>
  <c r="D209" i="9"/>
  <c r="D160" i="9"/>
  <c r="D111" i="9"/>
  <c r="D62" i="9"/>
  <c r="D13" i="9"/>
  <c r="K117" i="5"/>
  <c r="B159" i="5" s="1"/>
  <c r="L117" i="5"/>
  <c r="C159" i="5" s="1"/>
  <c r="M117" i="5"/>
  <c r="D159" i="5" s="1"/>
  <c r="L81" i="5"/>
  <c r="C110" i="5" s="1"/>
  <c r="K81" i="5"/>
  <c r="B110" i="5" s="1"/>
  <c r="M81" i="5"/>
  <c r="D110" i="5" s="1"/>
  <c r="L45" i="5"/>
  <c r="C61" i="5" s="1"/>
  <c r="K45" i="5"/>
  <c r="B61" i="5" s="1"/>
  <c r="M45" i="5"/>
  <c r="D61" i="5" s="1"/>
  <c r="L10" i="5"/>
  <c r="C12" i="5" s="1"/>
  <c r="K10" i="5"/>
  <c r="B12" i="5" s="1"/>
  <c r="M10" i="5"/>
  <c r="D12" i="5" s="1"/>
  <c r="L397" i="7"/>
  <c r="C540" i="7" s="1"/>
  <c r="K397" i="7"/>
  <c r="B540" i="7" s="1"/>
  <c r="M397" i="7"/>
  <c r="D540" i="7" s="1"/>
  <c r="L362" i="7"/>
  <c r="C492" i="7" s="1"/>
  <c r="K362" i="7"/>
  <c r="B492" i="7" s="1"/>
  <c r="M362" i="7"/>
  <c r="D492" i="7" s="1"/>
  <c r="L327" i="7"/>
  <c r="C444" i="7" s="1"/>
  <c r="K327" i="7"/>
  <c r="B444" i="7" s="1"/>
  <c r="M327" i="7"/>
  <c r="D444" i="7" s="1"/>
  <c r="L292" i="7"/>
  <c r="C396" i="7" s="1"/>
  <c r="K292" i="7"/>
  <c r="B396" i="7" s="1"/>
  <c r="M292" i="7"/>
  <c r="D396" i="7" s="1"/>
  <c r="L256" i="7"/>
  <c r="C348" i="7" s="1"/>
  <c r="K256" i="7"/>
  <c r="B348" i="7" s="1"/>
  <c r="M256" i="7"/>
  <c r="D348" i="7" s="1"/>
  <c r="L221" i="7"/>
  <c r="C300" i="7" s="1"/>
  <c r="K221" i="7"/>
  <c r="B300" i="7" s="1"/>
  <c r="M221" i="7"/>
  <c r="D300" i="7" s="1"/>
  <c r="L186" i="7"/>
  <c r="C252" i="7" s="1"/>
  <c r="K186" i="7"/>
  <c r="B252" i="7" s="1"/>
  <c r="M186" i="7"/>
  <c r="D252" i="7" s="1"/>
  <c r="L151" i="7"/>
  <c r="C204" i="7" s="1"/>
  <c r="K151" i="7"/>
  <c r="B204" i="7" s="1"/>
  <c r="M151" i="7"/>
  <c r="D204" i="7" s="1"/>
  <c r="L115" i="7"/>
  <c r="C156" i="7" s="1"/>
  <c r="K115" i="7"/>
  <c r="B156" i="7" s="1"/>
  <c r="M115" i="7"/>
  <c r="D156" i="7" s="1"/>
  <c r="K45" i="7"/>
  <c r="B60" i="7" s="1"/>
  <c r="K80" i="7"/>
  <c r="B108" i="7" s="1"/>
  <c r="M80" i="7"/>
  <c r="D108" i="7" s="1"/>
  <c r="L80" i="7"/>
  <c r="C108" i="7" s="1"/>
  <c r="L45" i="7"/>
  <c r="C60" i="7" s="1"/>
  <c r="M45" i="7"/>
  <c r="D60" i="7" s="1"/>
  <c r="L10" i="7"/>
  <c r="C12" i="7" s="1"/>
  <c r="K10" i="7"/>
  <c r="B12" i="7" s="1"/>
  <c r="M10" i="7"/>
  <c r="D12" i="7" s="1"/>
  <c r="M265" i="6"/>
  <c r="D355" i="6" s="1"/>
  <c r="M229" i="6"/>
  <c r="D306" i="6" s="1"/>
  <c r="M195" i="6"/>
  <c r="M159" i="6"/>
  <c r="D208" i="6" s="1"/>
  <c r="M123" i="6"/>
  <c r="D159" i="6" s="1"/>
  <c r="M88" i="6"/>
  <c r="D110" i="6" s="1"/>
  <c r="M53" i="6"/>
  <c r="D61" i="6" s="1"/>
  <c r="M12" i="6"/>
  <c r="D12" i="6" s="1"/>
  <c r="L902" i="8"/>
  <c r="C1237" i="8" s="1"/>
  <c r="K902" i="8"/>
  <c r="B1237" i="8" s="1"/>
  <c r="M902" i="8"/>
  <c r="D1237" i="8" s="1"/>
  <c r="L867" i="8"/>
  <c r="C1188" i="8" s="1"/>
  <c r="K867" i="8"/>
  <c r="B1188" i="8" s="1"/>
  <c r="M867" i="8"/>
  <c r="D1188" i="8" s="1"/>
  <c r="L831" i="8"/>
  <c r="C1139" i="8" s="1"/>
  <c r="K831" i="8"/>
  <c r="B1139" i="8" s="1"/>
  <c r="M831" i="8"/>
  <c r="D1139" i="8" s="1"/>
  <c r="L795" i="8"/>
  <c r="C1090" i="8" s="1"/>
  <c r="K795" i="8"/>
  <c r="B1090" i="8" s="1"/>
  <c r="M795" i="8"/>
  <c r="D1090" i="8" s="1"/>
  <c r="M11" i="8"/>
  <c r="D12" i="8" s="1"/>
  <c r="M48" i="8"/>
  <c r="D61" i="8" s="1"/>
  <c r="M85" i="8"/>
  <c r="D110" i="8" s="1"/>
  <c r="M120" i="8"/>
  <c r="D159" i="8" s="1"/>
  <c r="M155" i="8"/>
  <c r="D208" i="8" s="1"/>
  <c r="M191" i="8"/>
  <c r="D257" i="8" s="1"/>
  <c r="M226" i="8"/>
  <c r="D306" i="8" s="1"/>
  <c r="M261" i="8"/>
  <c r="D355" i="8" s="1"/>
  <c r="M297" i="8"/>
  <c r="D404" i="8" s="1"/>
  <c r="M332" i="8"/>
  <c r="D453" i="8" s="1"/>
  <c r="M367" i="8"/>
  <c r="D502" i="8" s="1"/>
  <c r="M403" i="8"/>
  <c r="D551" i="8" s="1"/>
  <c r="M438" i="8"/>
  <c r="D600" i="8" s="1"/>
  <c r="M473" i="8"/>
  <c r="D649" i="8" s="1"/>
  <c r="M508" i="8"/>
  <c r="D698" i="8" s="1"/>
  <c r="M544" i="8"/>
  <c r="D747" i="8" s="1"/>
  <c r="M579" i="8"/>
  <c r="D796" i="8" s="1"/>
  <c r="M614" i="8"/>
  <c r="D845" i="8" s="1"/>
  <c r="M650" i="8"/>
  <c r="D894" i="8" s="1"/>
  <c r="M686" i="8"/>
  <c r="D943" i="8" s="1"/>
  <c r="M759" i="8"/>
  <c r="D1041" i="8" s="1"/>
  <c r="L759" i="8"/>
  <c r="C1041" i="8" s="1"/>
  <c r="K759" i="8"/>
  <c r="B1041" i="8" s="1"/>
  <c r="M721" i="8"/>
  <c r="D992" i="8" s="1"/>
  <c r="N721" i="8"/>
  <c r="L721" i="8"/>
  <c r="C992" i="8" s="1"/>
  <c r="K721" i="8"/>
  <c r="B992" i="8" s="1"/>
  <c r="L686" i="8"/>
  <c r="C943" i="8" s="1"/>
  <c r="K686" i="8"/>
  <c r="B943" i="8" s="1"/>
  <c r="L650" i="8"/>
  <c r="C894" i="8" s="1"/>
  <c r="K650" i="8"/>
  <c r="B894" i="8" s="1"/>
  <c r="L614" i="8"/>
  <c r="C845" i="8" s="1"/>
  <c r="K614" i="8"/>
  <c r="B845" i="8" s="1"/>
  <c r="L579" i="8"/>
  <c r="C796" i="8" s="1"/>
  <c r="K579" i="8"/>
  <c r="B796" i="8" s="1"/>
  <c r="L544" i="8"/>
  <c r="C747" i="8" s="1"/>
  <c r="K544" i="8"/>
  <c r="B747" i="8" s="1"/>
  <c r="L508" i="8"/>
  <c r="C698" i="8" s="1"/>
  <c r="K508" i="8"/>
  <c r="B698" i="8" s="1"/>
  <c r="L473" i="8"/>
  <c r="C649" i="8" s="1"/>
  <c r="K473" i="8"/>
  <c r="B649" i="8" s="1"/>
  <c r="L438" i="8"/>
  <c r="C600" i="8" s="1"/>
  <c r="K438" i="8"/>
  <c r="B600" i="8" s="1"/>
  <c r="L403" i="8"/>
  <c r="C551" i="8" s="1"/>
  <c r="K403" i="8"/>
  <c r="B551" i="8" s="1"/>
  <c r="L367" i="8"/>
  <c r="C502" i="8" s="1"/>
  <c r="K367" i="8"/>
  <c r="B502" i="8" s="1"/>
  <c r="L332" i="8"/>
  <c r="C453" i="8" s="1"/>
  <c r="K332" i="8"/>
  <c r="B453" i="8" s="1"/>
  <c r="L261" i="8"/>
  <c r="C355" i="8" s="1"/>
  <c r="K261" i="8"/>
  <c r="B355" i="8" s="1"/>
  <c r="L226" i="8"/>
  <c r="C306" i="8" s="1"/>
  <c r="K226" i="8"/>
  <c r="B306" i="8" s="1"/>
  <c r="L191" i="8"/>
  <c r="C257" i="8" s="1"/>
  <c r="K191" i="8"/>
  <c r="B257" i="8" s="1"/>
  <c r="L155" i="8"/>
  <c r="C208" i="8" s="1"/>
  <c r="K155" i="8"/>
  <c r="B208" i="8" s="1"/>
  <c r="L120" i="8"/>
  <c r="C159" i="8" s="1"/>
  <c r="K120" i="8"/>
  <c r="B159" i="8" s="1"/>
  <c r="L85" i="8"/>
  <c r="C110" i="8" s="1"/>
  <c r="K85" i="8"/>
  <c r="B110" i="8" s="1"/>
  <c r="K48" i="8"/>
  <c r="B61" i="8" s="1"/>
  <c r="L11" i="8"/>
  <c r="C12" i="8" s="1"/>
  <c r="K11" i="8"/>
  <c r="B12" i="8" s="1"/>
  <c r="L297" i="8"/>
  <c r="C404" i="8" s="1"/>
  <c r="K297" i="8"/>
  <c r="B404" i="8" s="1"/>
  <c r="L48" i="8"/>
  <c r="C61" i="8" s="1"/>
  <c r="L265" i="6"/>
  <c r="C355" i="6" s="1"/>
  <c r="K265" i="6"/>
  <c r="B355" i="6" s="1"/>
  <c r="L229" i="6"/>
  <c r="C306" i="6" s="1"/>
  <c r="K229" i="6"/>
  <c r="B306" i="6" s="1"/>
  <c r="L195" i="6"/>
  <c r="C257" i="6" s="1"/>
  <c r="K195" i="6"/>
  <c r="B257" i="6" s="1"/>
  <c r="D257" i="6"/>
  <c r="L159" i="6"/>
  <c r="C208" i="6" s="1"/>
  <c r="K159" i="6"/>
  <c r="B208" i="6" s="1"/>
  <c r="L123" i="6"/>
  <c r="C159" i="6" s="1"/>
  <c r="K123" i="6"/>
  <c r="B159" i="6" s="1"/>
  <c r="L88" i="6"/>
  <c r="C110" i="6" s="1"/>
  <c r="K88" i="6"/>
  <c r="B110" i="6" s="1"/>
  <c r="L53" i="6"/>
  <c r="C61" i="6" s="1"/>
  <c r="K53" i="6"/>
  <c r="B61" i="6" s="1"/>
  <c r="D13" i="5" l="1"/>
  <c r="D62" i="5"/>
  <c r="D160" i="5"/>
  <c r="D109" i="7"/>
  <c r="D397" i="7"/>
  <c r="D301" i="7"/>
  <c r="D205" i="7"/>
  <c r="D445" i="7"/>
  <c r="D61" i="7"/>
  <c r="D1091" i="8"/>
  <c r="D209" i="8"/>
  <c r="D258" i="6"/>
  <c r="D111" i="5"/>
  <c r="D541" i="7"/>
  <c r="D493" i="7"/>
  <c r="D349" i="7"/>
  <c r="D253" i="7"/>
  <c r="D157" i="7"/>
  <c r="D13" i="7"/>
  <c r="D1238" i="8"/>
  <c r="D1189" i="8"/>
  <c r="D1140" i="8"/>
  <c r="D13" i="8"/>
  <c r="D454" i="8"/>
  <c r="D503" i="8"/>
  <c r="D797" i="8"/>
  <c r="D1042" i="8"/>
  <c r="D993" i="8"/>
  <c r="D944" i="8"/>
  <c r="D895" i="8"/>
  <c r="D846" i="8"/>
  <c r="D160" i="8"/>
  <c r="D258" i="8"/>
  <c r="D748" i="8"/>
  <c r="D405" i="8"/>
  <c r="D699" i="8"/>
  <c r="D650" i="8"/>
  <c r="D62" i="8"/>
  <c r="D111" i="8"/>
  <c r="D601" i="8"/>
  <c r="D552" i="8"/>
  <c r="D356" i="8"/>
  <c r="D307" i="8"/>
  <c r="D356" i="6"/>
  <c r="D307" i="6"/>
  <c r="D209" i="6"/>
  <c r="D160" i="6"/>
  <c r="D111" i="6"/>
  <c r="D62" i="6"/>
  <c r="K12" i="6"/>
  <c r="B12" i="6" s="1"/>
  <c r="D13" i="6" s="1"/>
  <c r="L12" i="6"/>
  <c r="C12" i="6" s="1"/>
</calcChain>
</file>

<file path=xl/sharedStrings.xml><?xml version="1.0" encoding="utf-8"?>
<sst xmlns="http://schemas.openxmlformats.org/spreadsheetml/2006/main" count="2770" uniqueCount="68">
  <si>
    <t>Вид услуг</t>
  </si>
  <si>
    <t>Начислено средств</t>
  </si>
  <si>
    <t>Получено средств</t>
  </si>
  <si>
    <t>Выполнено работ</t>
  </si>
  <si>
    <t>Отчет</t>
  </si>
  <si>
    <t>ООО ДУК "Стеклозаводец-Бор"</t>
  </si>
  <si>
    <t>с июля по декабрь 2014 год</t>
  </si>
  <si>
    <t>ул.Новостройка д.</t>
  </si>
  <si>
    <t>Остаток денежных средств</t>
  </si>
  <si>
    <t>Администрация ООО ДУК "Стеклозаводец-Бор"</t>
  </si>
  <si>
    <t>телефон для справок:</t>
  </si>
  <si>
    <t>6-19-99</t>
  </si>
  <si>
    <t>Перерасход денежных средств с учетом выполненных работ</t>
  </si>
  <si>
    <t>ул.Октябрьская д.</t>
  </si>
  <si>
    <t>9а</t>
  </si>
  <si>
    <t>п.Кр.Слобода</t>
  </si>
  <si>
    <t>ул.Садовая д.</t>
  </si>
  <si>
    <t>5а</t>
  </si>
  <si>
    <t>п.Ситники</t>
  </si>
  <si>
    <t>1-й участок д.</t>
  </si>
  <si>
    <t>1а</t>
  </si>
  <si>
    <t>ул.Центральная д.</t>
  </si>
  <si>
    <t>3а</t>
  </si>
  <si>
    <t>18а</t>
  </si>
  <si>
    <t>ст.Киселиха</t>
  </si>
  <si>
    <t>о выпоненных работах по техническому обслуживанию общего имущества за период</t>
  </si>
  <si>
    <t>Техническое обслуживание</t>
  </si>
  <si>
    <t>Выполнено работ по техническому обслуживанию жилья</t>
  </si>
  <si>
    <t>Аварийно-восстановительные работы</t>
  </si>
  <si>
    <t>Вывоз твердых бытовых отходов</t>
  </si>
  <si>
    <t>Обслуживание внутридомовых сетей водоснабжения</t>
  </si>
  <si>
    <t>Обслуживание внутридомовых сетей водоотведения</t>
  </si>
  <si>
    <t>Обслуживание внутридомовых сетей газоснабжения</t>
  </si>
  <si>
    <t>Обслуживание внутридомовых сетей отопления</t>
  </si>
  <si>
    <t>Обслуживание внутридомовых сетей электроснабжения</t>
  </si>
  <si>
    <t>Периодич. Проверка венкан. И дымоходов кр. Кирпич</t>
  </si>
  <si>
    <t>Проведение плановых и внеплановых осмотров строительных конструкций</t>
  </si>
  <si>
    <t>Проведение электро-измерительных работ</t>
  </si>
  <si>
    <t>Прочие услуги</t>
  </si>
  <si>
    <t>Услуги управляющей компании</t>
  </si>
  <si>
    <t>Уборка придомовой территории</t>
  </si>
  <si>
    <t>п.Железнодорожный</t>
  </si>
  <si>
    <t>тер.Киселихинского госпиталя д.1</t>
  </si>
  <si>
    <t>тер.Киселихинского госпиталя д.2</t>
  </si>
  <si>
    <t>тер.Киселихинского госпиталя д.4</t>
  </si>
  <si>
    <t>тер.Киселихинского госпиталя д.7</t>
  </si>
  <si>
    <t>ул.Вокзальная д.2</t>
  </si>
  <si>
    <t>ул.Вокзальная д.3</t>
  </si>
  <si>
    <t>ул.Вокзальная д.4</t>
  </si>
  <si>
    <t>ул.Вокзальная д.6</t>
  </si>
  <si>
    <t>ул.Вокзальная д.7</t>
  </si>
  <si>
    <t>сп.Приречный д.</t>
  </si>
  <si>
    <t>с февраля 2014 года по декабрь 2014 год</t>
  </si>
  <si>
    <t>г.Бор</t>
  </si>
  <si>
    <t>ул.Чугунова  д.</t>
  </si>
  <si>
    <t>тек. Рем</t>
  </si>
  <si>
    <t>тек рем</t>
  </si>
  <si>
    <t>Текущий ремонт</t>
  </si>
  <si>
    <t>о выпоненных работах по техническому обслуживанию и текущему ремонту общего имущества за период</t>
  </si>
  <si>
    <t>Начислено средств от населения</t>
  </si>
  <si>
    <t>Получено средств от населения</t>
  </si>
  <si>
    <t>Получено средств из бюджета(субсидия)</t>
  </si>
  <si>
    <t>по дог упр.</t>
  </si>
  <si>
    <t>Остаток денежных средств с учетом выполненных работ</t>
  </si>
  <si>
    <t>6-19-100</t>
  </si>
  <si>
    <t>тер.Киселихинского госпиталя д.3</t>
  </si>
  <si>
    <t>тер.Киселихинского госпиталя д.5</t>
  </si>
  <si>
    <t>тер.Киселихинского госпиталя д.8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</si>
</sst>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/>
    <xf numFmtId="0" fontId="3" fillId="0" borderId="0" xfId="0" applyFont="1"/>
    <xf numFmtId="2" fontId="0" fillId="0" borderId="1" xfId="0" applyNumberFormat="1" applyBorder="1"/>
    <xf numFmtId="164" fontId="0" fillId="0" borderId="1" xfId="0" applyNumberFormat="1" applyBorder="1"/>
    <xf numFmtId="0" fontId="4" fillId="0" borderId="0" xfId="0" applyFont="1"/>
    <xf numFmtId="0" fontId="0" fillId="0" borderId="4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88"/>
  <sheetViews>
    <sheetView topLeftCell="A275" workbookViewId="0">
      <selection activeCell="K385" sqref="K385"/>
    </sheetView>
  </sheetViews>
  <sheetFormatPr defaultRowHeight="15" x14ac:dyDescent="0.25"/>
  <cols>
    <col min="1" max="1" width="27.5703125" customWidth="1"/>
    <col min="2" max="2" width="16.140625" customWidth="1"/>
    <col min="3" max="3" width="16.7109375" customWidth="1"/>
    <col min="4" max="4" width="10.7109375" customWidth="1"/>
    <col min="7" max="7" width="0.5703125" customWidth="1"/>
    <col min="8" max="10" width="8.85546875" hidden="1" customWidth="1"/>
  </cols>
  <sheetData>
    <row r="4" spans="1:14" ht="15.75" x14ac:dyDescent="0.25">
      <c r="B4" s="4" t="s">
        <v>4</v>
      </c>
      <c r="C4" s="4"/>
    </row>
    <row r="5" spans="1:14" ht="15.75" x14ac:dyDescent="0.25">
      <c r="B5" s="4" t="s">
        <v>5</v>
      </c>
      <c r="C5" s="4"/>
    </row>
    <row r="6" spans="1:14" x14ac:dyDescent="0.25">
      <c r="A6" s="5" t="s">
        <v>25</v>
      </c>
      <c r="B6" s="5"/>
      <c r="C6" s="5"/>
      <c r="D6" s="5"/>
    </row>
    <row r="7" spans="1:14" x14ac:dyDescent="0.25">
      <c r="A7" s="5"/>
      <c r="B7" s="5" t="s">
        <v>6</v>
      </c>
      <c r="C7" s="5"/>
      <c r="D7" s="5"/>
    </row>
    <row r="8" spans="1:14" x14ac:dyDescent="0.25">
      <c r="A8" s="7" t="s">
        <v>18</v>
      </c>
      <c r="B8" s="7" t="s">
        <v>19</v>
      </c>
      <c r="C8" s="6">
        <v>2</v>
      </c>
    </row>
    <row r="11" spans="1:14" ht="30" x14ac:dyDescent="0.25">
      <c r="A11" s="1" t="s">
        <v>0</v>
      </c>
      <c r="B11" s="2" t="s">
        <v>1</v>
      </c>
      <c r="C11" s="2" t="s">
        <v>2</v>
      </c>
      <c r="D11" s="2" t="s">
        <v>3</v>
      </c>
      <c r="M11">
        <v>843.9</v>
      </c>
      <c r="N11">
        <v>12.9</v>
      </c>
    </row>
    <row r="12" spans="1:14" x14ac:dyDescent="0.25">
      <c r="A12" s="3" t="s">
        <v>26</v>
      </c>
      <c r="B12" s="1">
        <f>K12</f>
        <v>65317.979999999996</v>
      </c>
      <c r="C12" s="1">
        <f>L12</f>
        <v>48025.71</v>
      </c>
      <c r="D12" s="1">
        <f>M12</f>
        <v>65317.86</v>
      </c>
      <c r="K12">
        <f>130059.01-27440.19-122.76-16215.58-20962.5</f>
        <v>65317.979999999996</v>
      </c>
      <c r="L12">
        <f>93577.37-11161.22-90.28-15412.87-18887.29</f>
        <v>48025.71</v>
      </c>
      <c r="M12">
        <f>M11*N11*6</f>
        <v>65317.86</v>
      </c>
    </row>
    <row r="13" spans="1:14" x14ac:dyDescent="0.25">
      <c r="A13" s="14" t="s">
        <v>8</v>
      </c>
      <c r="B13" s="15"/>
      <c r="C13" s="16"/>
      <c r="D13" s="1">
        <f>B12-D12</f>
        <v>0.11999999999534339</v>
      </c>
    </row>
    <row r="15" spans="1:14" x14ac:dyDescent="0.25">
      <c r="A15" s="5" t="s">
        <v>27</v>
      </c>
    </row>
    <row r="17" spans="1:4" x14ac:dyDescent="0.25">
      <c r="A17" s="9" t="s">
        <v>28</v>
      </c>
    </row>
    <row r="18" spans="1:4" x14ac:dyDescent="0.25">
      <c r="A18" s="9" t="s">
        <v>29</v>
      </c>
      <c r="B18" s="9"/>
      <c r="C18" s="9"/>
      <c r="D18" s="9"/>
    </row>
    <row r="19" spans="1:4" x14ac:dyDescent="0.25">
      <c r="A19" s="9" t="s">
        <v>30</v>
      </c>
      <c r="B19" s="9"/>
      <c r="C19" s="9"/>
      <c r="D19" s="9"/>
    </row>
    <row r="20" spans="1:4" x14ac:dyDescent="0.25">
      <c r="A20" s="9" t="s">
        <v>31</v>
      </c>
      <c r="B20" s="9"/>
      <c r="C20" s="9"/>
      <c r="D20" s="9"/>
    </row>
    <row r="21" spans="1:4" x14ac:dyDescent="0.25">
      <c r="A21" s="9" t="s">
        <v>32</v>
      </c>
      <c r="B21" s="9"/>
      <c r="C21" s="9"/>
      <c r="D21" s="9"/>
    </row>
    <row r="22" spans="1:4" x14ac:dyDescent="0.25">
      <c r="A22" s="9" t="s">
        <v>33</v>
      </c>
      <c r="B22" s="9"/>
      <c r="C22" s="9"/>
      <c r="D22" s="9"/>
    </row>
    <row r="23" spans="1:4" x14ac:dyDescent="0.25">
      <c r="A23" s="9" t="s">
        <v>34</v>
      </c>
      <c r="B23" s="9"/>
      <c r="C23" s="9"/>
      <c r="D23" s="9"/>
    </row>
    <row r="24" spans="1:4" x14ac:dyDescent="0.25">
      <c r="A24" s="9" t="s">
        <v>35</v>
      </c>
      <c r="B24" s="9"/>
      <c r="C24" s="9"/>
      <c r="D24" s="9"/>
    </row>
    <row r="25" spans="1:4" x14ac:dyDescent="0.25">
      <c r="A25" s="9" t="s">
        <v>36</v>
      </c>
      <c r="B25" s="9"/>
      <c r="C25" s="9"/>
      <c r="D25" s="9"/>
    </row>
    <row r="26" spans="1:4" x14ac:dyDescent="0.25">
      <c r="A26" s="9" t="s">
        <v>37</v>
      </c>
      <c r="B26" s="9"/>
      <c r="C26" s="9"/>
      <c r="D26" s="9"/>
    </row>
    <row r="27" spans="1:4" x14ac:dyDescent="0.25">
      <c r="A27" s="9" t="s">
        <v>38</v>
      </c>
      <c r="B27" s="9"/>
      <c r="C27" s="9"/>
      <c r="D27" s="9"/>
    </row>
    <row r="28" spans="1:4" x14ac:dyDescent="0.25">
      <c r="A28" s="9" t="s">
        <v>40</v>
      </c>
      <c r="B28" s="9"/>
      <c r="C28" s="9"/>
      <c r="D28" s="9"/>
    </row>
    <row r="29" spans="1:4" x14ac:dyDescent="0.25">
      <c r="A29" s="9" t="s">
        <v>39</v>
      </c>
      <c r="B29" s="9"/>
      <c r="C29" s="9"/>
      <c r="D29" s="9"/>
    </row>
    <row r="43" spans="1:2" x14ac:dyDescent="0.25">
      <c r="A43" t="s">
        <v>9</v>
      </c>
    </row>
    <row r="45" spans="1:2" x14ac:dyDescent="0.25">
      <c r="A45" t="s">
        <v>10</v>
      </c>
      <c r="B45" t="s">
        <v>11</v>
      </c>
    </row>
    <row r="52" spans="1:14" x14ac:dyDescent="0.25">
      <c r="M52">
        <v>626.9</v>
      </c>
      <c r="N52">
        <v>12.43</v>
      </c>
    </row>
    <row r="53" spans="1:14" ht="15.75" x14ac:dyDescent="0.25">
      <c r="B53" s="4" t="s">
        <v>4</v>
      </c>
      <c r="C53" s="4"/>
      <c r="K53">
        <f>68251.5-3954.74-194.4-4400.82-12946.84</f>
        <v>46754.7</v>
      </c>
      <c r="L53">
        <f>41963.05-2578.09-118.31-2679.3-8122.31</f>
        <v>28465.040000000005</v>
      </c>
      <c r="M53">
        <f>M52*N52*6</f>
        <v>46754.201999999997</v>
      </c>
    </row>
    <row r="54" spans="1:14" ht="15.75" x14ac:dyDescent="0.25">
      <c r="B54" s="4" t="s">
        <v>5</v>
      </c>
      <c r="C54" s="4"/>
    </row>
    <row r="55" spans="1:14" x14ac:dyDescent="0.25">
      <c r="A55" s="5" t="s">
        <v>25</v>
      </c>
      <c r="B55" s="5"/>
      <c r="C55" s="5"/>
      <c r="D55" s="5"/>
    </row>
    <row r="56" spans="1:14" x14ac:dyDescent="0.25">
      <c r="A56" s="5"/>
      <c r="B56" s="5" t="s">
        <v>6</v>
      </c>
      <c r="C56" s="5"/>
      <c r="D56" s="5"/>
    </row>
    <row r="57" spans="1:14" x14ac:dyDescent="0.25">
      <c r="A57" s="8" t="s">
        <v>18</v>
      </c>
      <c r="B57" s="8" t="s">
        <v>19</v>
      </c>
      <c r="C57" s="6">
        <v>7</v>
      </c>
    </row>
    <row r="60" spans="1:14" ht="30" x14ac:dyDescent="0.25">
      <c r="A60" s="1" t="s">
        <v>0</v>
      </c>
      <c r="B60" s="2" t="s">
        <v>1</v>
      </c>
      <c r="C60" s="2" t="s">
        <v>2</v>
      </c>
      <c r="D60" s="2" t="s">
        <v>3</v>
      </c>
    </row>
    <row r="61" spans="1:14" x14ac:dyDescent="0.25">
      <c r="A61" s="3" t="s">
        <v>26</v>
      </c>
      <c r="B61" s="1">
        <f>K53</f>
        <v>46754.7</v>
      </c>
      <c r="C61" s="1">
        <f>L53</f>
        <v>28465.040000000005</v>
      </c>
      <c r="D61" s="1">
        <f>M53</f>
        <v>46754.201999999997</v>
      </c>
    </row>
    <row r="62" spans="1:14" x14ac:dyDescent="0.25">
      <c r="A62" s="14" t="s">
        <v>8</v>
      </c>
      <c r="B62" s="15"/>
      <c r="C62" s="16"/>
      <c r="D62" s="1">
        <f>B61-D61</f>
        <v>0.49799999999959255</v>
      </c>
    </row>
    <row r="64" spans="1:14" x14ac:dyDescent="0.25">
      <c r="A64" s="5" t="s">
        <v>27</v>
      </c>
    </row>
    <row r="66" spans="1:4" x14ac:dyDescent="0.25">
      <c r="A66" s="9" t="s">
        <v>28</v>
      </c>
    </row>
    <row r="67" spans="1:4" x14ac:dyDescent="0.25">
      <c r="A67" s="9" t="s">
        <v>29</v>
      </c>
      <c r="B67" s="9"/>
      <c r="C67" s="9"/>
      <c r="D67" s="9"/>
    </row>
    <row r="68" spans="1:4" x14ac:dyDescent="0.25">
      <c r="A68" s="9" t="s">
        <v>30</v>
      </c>
      <c r="B68" s="9"/>
      <c r="C68" s="9"/>
      <c r="D68" s="9"/>
    </row>
    <row r="69" spans="1:4" x14ac:dyDescent="0.25">
      <c r="A69" s="9" t="s">
        <v>31</v>
      </c>
      <c r="B69" s="9"/>
      <c r="C69" s="9"/>
      <c r="D69" s="9"/>
    </row>
    <row r="70" spans="1:4" x14ac:dyDescent="0.25">
      <c r="A70" s="9" t="s">
        <v>32</v>
      </c>
      <c r="B70" s="9"/>
      <c r="C70" s="9"/>
      <c r="D70" s="9"/>
    </row>
    <row r="71" spans="1:4" x14ac:dyDescent="0.25">
      <c r="A71" s="9" t="s">
        <v>33</v>
      </c>
      <c r="B71" s="9"/>
      <c r="C71" s="9"/>
      <c r="D71" s="9"/>
    </row>
    <row r="72" spans="1:4" x14ac:dyDescent="0.25">
      <c r="A72" s="9" t="s">
        <v>34</v>
      </c>
      <c r="B72" s="9"/>
      <c r="C72" s="9"/>
      <c r="D72" s="9"/>
    </row>
    <row r="73" spans="1:4" x14ac:dyDescent="0.25">
      <c r="A73" s="9" t="s">
        <v>35</v>
      </c>
      <c r="B73" s="9"/>
      <c r="C73" s="9"/>
      <c r="D73" s="9"/>
    </row>
    <row r="74" spans="1:4" x14ac:dyDescent="0.25">
      <c r="A74" s="9" t="s">
        <v>36</v>
      </c>
      <c r="B74" s="9"/>
      <c r="C74" s="9"/>
      <c r="D74" s="9"/>
    </row>
    <row r="75" spans="1:4" x14ac:dyDescent="0.25">
      <c r="A75" s="9" t="s">
        <v>37</v>
      </c>
      <c r="B75" s="9"/>
      <c r="C75" s="9"/>
      <c r="D75" s="9"/>
    </row>
    <row r="76" spans="1:4" x14ac:dyDescent="0.25">
      <c r="A76" s="9" t="s">
        <v>38</v>
      </c>
      <c r="B76" s="9"/>
      <c r="C76" s="9"/>
      <c r="D76" s="9"/>
    </row>
    <row r="77" spans="1:4" x14ac:dyDescent="0.25">
      <c r="A77" s="9" t="s">
        <v>40</v>
      </c>
      <c r="B77" s="9"/>
      <c r="C77" s="9"/>
      <c r="D77" s="9"/>
    </row>
    <row r="78" spans="1:4" x14ac:dyDescent="0.25">
      <c r="A78" s="9" t="s">
        <v>39</v>
      </c>
      <c r="B78" s="9"/>
      <c r="C78" s="9"/>
      <c r="D78" s="9"/>
    </row>
    <row r="87" spans="1:14" x14ac:dyDescent="0.25">
      <c r="M87">
        <v>488</v>
      </c>
      <c r="N87">
        <v>12.28</v>
      </c>
    </row>
    <row r="88" spans="1:14" x14ac:dyDescent="0.25">
      <c r="K88">
        <f>34977.89-876.05-131.52-3297.06</f>
        <v>30673.26</v>
      </c>
      <c r="L88">
        <f>16514.36-375.45-62.23-1560.35</f>
        <v>14516.33</v>
      </c>
      <c r="M88">
        <f>M87*N87*6</f>
        <v>35955.839999999997</v>
      </c>
    </row>
    <row r="92" spans="1:14" x14ac:dyDescent="0.25">
      <c r="A92" t="s">
        <v>9</v>
      </c>
    </row>
    <row r="94" spans="1:14" x14ac:dyDescent="0.25">
      <c r="A94" t="s">
        <v>10</v>
      </c>
      <c r="B94" t="s">
        <v>11</v>
      </c>
    </row>
    <row r="102" spans="1:4" ht="15.75" x14ac:dyDescent="0.25">
      <c r="B102" s="4" t="s">
        <v>4</v>
      </c>
      <c r="C102" s="4"/>
    </row>
    <row r="103" spans="1:4" ht="15.75" x14ac:dyDescent="0.25">
      <c r="B103" s="4" t="s">
        <v>5</v>
      </c>
      <c r="C103" s="4"/>
    </row>
    <row r="104" spans="1:4" x14ac:dyDescent="0.25">
      <c r="A104" s="5" t="s">
        <v>25</v>
      </c>
      <c r="B104" s="5"/>
      <c r="C104" s="5"/>
      <c r="D104" s="5"/>
    </row>
    <row r="105" spans="1:4" x14ac:dyDescent="0.25">
      <c r="A105" s="5"/>
      <c r="B105" s="5" t="s">
        <v>6</v>
      </c>
      <c r="C105" s="5"/>
      <c r="D105" s="5"/>
    </row>
    <row r="106" spans="1:4" x14ac:dyDescent="0.25">
      <c r="A106" s="8" t="s">
        <v>18</v>
      </c>
      <c r="B106" s="8" t="s">
        <v>19</v>
      </c>
      <c r="C106" s="6">
        <v>8</v>
      </c>
    </row>
    <row r="109" spans="1:4" ht="30" x14ac:dyDescent="0.25">
      <c r="A109" s="1" t="s">
        <v>0</v>
      </c>
      <c r="B109" s="2" t="s">
        <v>1</v>
      </c>
      <c r="C109" s="2" t="s">
        <v>2</v>
      </c>
      <c r="D109" s="2" t="s">
        <v>3</v>
      </c>
    </row>
    <row r="110" spans="1:4" x14ac:dyDescent="0.25">
      <c r="A110" s="3" t="s">
        <v>26</v>
      </c>
      <c r="B110" s="1">
        <f>K88</f>
        <v>30673.26</v>
      </c>
      <c r="C110" s="1">
        <f>L88</f>
        <v>14516.33</v>
      </c>
      <c r="D110" s="1">
        <f>M88</f>
        <v>35955.839999999997</v>
      </c>
    </row>
    <row r="111" spans="1:4" x14ac:dyDescent="0.25">
      <c r="A111" s="14" t="s">
        <v>12</v>
      </c>
      <c r="B111" s="15"/>
      <c r="C111" s="16"/>
      <c r="D111" s="1">
        <f>B110-D110</f>
        <v>-5282.5799999999981</v>
      </c>
    </row>
    <row r="113" spans="1:14" x14ac:dyDescent="0.25">
      <c r="A113" s="5" t="s">
        <v>27</v>
      </c>
    </row>
    <row r="115" spans="1:14" x14ac:dyDescent="0.25">
      <c r="A115" s="9" t="s">
        <v>28</v>
      </c>
    </row>
    <row r="116" spans="1:14" x14ac:dyDescent="0.25">
      <c r="A116" s="9" t="s">
        <v>29</v>
      </c>
      <c r="B116" s="9"/>
      <c r="C116" s="9"/>
      <c r="D116" s="9"/>
    </row>
    <row r="117" spans="1:14" x14ac:dyDescent="0.25">
      <c r="A117" s="9" t="s">
        <v>30</v>
      </c>
      <c r="B117" s="9"/>
      <c r="C117" s="9"/>
      <c r="D117" s="9"/>
    </row>
    <row r="118" spans="1:14" x14ac:dyDescent="0.25">
      <c r="A118" s="9" t="s">
        <v>31</v>
      </c>
      <c r="B118" s="9"/>
      <c r="C118" s="9"/>
      <c r="D118" s="9"/>
    </row>
    <row r="119" spans="1:14" x14ac:dyDescent="0.25">
      <c r="A119" s="9" t="s">
        <v>32</v>
      </c>
      <c r="B119" s="9"/>
      <c r="C119" s="9"/>
      <c r="D119" s="9"/>
    </row>
    <row r="120" spans="1:14" x14ac:dyDescent="0.25">
      <c r="A120" s="9" t="s">
        <v>33</v>
      </c>
      <c r="B120" s="9"/>
      <c r="C120" s="9"/>
      <c r="D120" s="9"/>
    </row>
    <row r="121" spans="1:14" x14ac:dyDescent="0.25">
      <c r="A121" s="9" t="s">
        <v>34</v>
      </c>
      <c r="B121" s="9"/>
      <c r="C121" s="9"/>
      <c r="D121" s="9"/>
    </row>
    <row r="122" spans="1:14" x14ac:dyDescent="0.25">
      <c r="A122" s="9" t="s">
        <v>35</v>
      </c>
      <c r="B122" s="9"/>
      <c r="C122" s="9"/>
      <c r="D122" s="9"/>
      <c r="M122">
        <v>495.4</v>
      </c>
      <c r="N122">
        <v>12.28</v>
      </c>
    </row>
    <row r="123" spans="1:14" x14ac:dyDescent="0.25">
      <c r="A123" s="9" t="s">
        <v>36</v>
      </c>
      <c r="B123" s="9"/>
      <c r="C123" s="9"/>
      <c r="D123" s="9"/>
      <c r="K123">
        <f>42211.87-1677.01-110.16-3923.64</f>
        <v>36501.06</v>
      </c>
      <c r="L123">
        <f>35379.09-2079.34-63.5-3369.16</f>
        <v>29867.09</v>
      </c>
      <c r="M123">
        <f>M122*N122*6</f>
        <v>36501.072</v>
      </c>
    </row>
    <row r="124" spans="1:14" x14ac:dyDescent="0.25">
      <c r="A124" s="9" t="s">
        <v>37</v>
      </c>
      <c r="B124" s="9"/>
      <c r="C124" s="9"/>
      <c r="D124" s="9"/>
    </row>
    <row r="125" spans="1:14" x14ac:dyDescent="0.25">
      <c r="A125" s="9" t="s">
        <v>38</v>
      </c>
      <c r="B125" s="9"/>
      <c r="C125" s="9"/>
      <c r="D125" s="9"/>
    </row>
    <row r="126" spans="1:14" x14ac:dyDescent="0.25">
      <c r="A126" s="9" t="s">
        <v>40</v>
      </c>
      <c r="B126" s="9"/>
      <c r="C126" s="9"/>
      <c r="D126" s="9"/>
    </row>
    <row r="127" spans="1:14" x14ac:dyDescent="0.25">
      <c r="A127" s="9" t="s">
        <v>39</v>
      </c>
      <c r="B127" s="9"/>
      <c r="C127" s="9"/>
      <c r="D127" s="9"/>
    </row>
    <row r="141" spans="1:2" x14ac:dyDescent="0.25">
      <c r="A141" t="s">
        <v>9</v>
      </c>
    </row>
    <row r="143" spans="1:2" x14ac:dyDescent="0.25">
      <c r="A143" t="s">
        <v>10</v>
      </c>
      <c r="B143" t="s">
        <v>11</v>
      </c>
    </row>
    <row r="151" spans="1:14" ht="15.75" x14ac:dyDescent="0.25">
      <c r="B151" s="4" t="s">
        <v>4</v>
      </c>
      <c r="C151" s="4"/>
    </row>
    <row r="152" spans="1:14" ht="15.75" x14ac:dyDescent="0.25">
      <c r="B152" s="4" t="s">
        <v>5</v>
      </c>
      <c r="C152" s="4"/>
    </row>
    <row r="153" spans="1:14" x14ac:dyDescent="0.25">
      <c r="A153" s="5" t="s">
        <v>25</v>
      </c>
      <c r="B153" s="5"/>
      <c r="C153" s="5"/>
      <c r="D153" s="5"/>
    </row>
    <row r="154" spans="1:14" x14ac:dyDescent="0.25">
      <c r="A154" s="5"/>
      <c r="B154" s="5" t="s">
        <v>6</v>
      </c>
      <c r="C154" s="5"/>
      <c r="D154" s="5"/>
    </row>
    <row r="155" spans="1:14" x14ac:dyDescent="0.25">
      <c r="A155" s="8" t="s">
        <v>18</v>
      </c>
      <c r="B155" s="8" t="s">
        <v>19</v>
      </c>
      <c r="C155" s="6">
        <v>10</v>
      </c>
    </row>
    <row r="158" spans="1:14" ht="30" x14ac:dyDescent="0.25">
      <c r="A158" s="1" t="s">
        <v>0</v>
      </c>
      <c r="B158" s="2" t="s">
        <v>1</v>
      </c>
      <c r="C158" s="2" t="s">
        <v>2</v>
      </c>
      <c r="D158" s="2" t="s">
        <v>3</v>
      </c>
      <c r="M158">
        <v>363.3</v>
      </c>
      <c r="N158">
        <v>12.28</v>
      </c>
    </row>
    <row r="159" spans="1:14" x14ac:dyDescent="0.25">
      <c r="A159" s="3" t="s">
        <v>26</v>
      </c>
      <c r="B159" s="1">
        <f>K123</f>
        <v>36501.06</v>
      </c>
      <c r="C159" s="1">
        <f>L123</f>
        <v>29867.09</v>
      </c>
      <c r="D159" s="11">
        <f>M123</f>
        <v>36501.072</v>
      </c>
      <c r="K159">
        <f>29498.64-1176.41-80.11-2741.17</f>
        <v>25500.949999999997</v>
      </c>
      <c r="L159">
        <f>16577.07-650.59-12.42-1544.63</f>
        <v>14369.43</v>
      </c>
      <c r="M159">
        <f>M158*N158*6</f>
        <v>26767.943999999996</v>
      </c>
    </row>
    <row r="160" spans="1:14" x14ac:dyDescent="0.25">
      <c r="A160" s="14" t="s">
        <v>8</v>
      </c>
      <c r="B160" s="15"/>
      <c r="C160" s="16"/>
      <c r="D160" s="11">
        <f>B159-D159</f>
        <v>-1.2000000002444722E-2</v>
      </c>
    </row>
    <row r="162" spans="1:4" x14ac:dyDescent="0.25">
      <c r="A162" s="5" t="s">
        <v>27</v>
      </c>
    </row>
    <row r="164" spans="1:4" x14ac:dyDescent="0.25">
      <c r="A164" s="9" t="s">
        <v>28</v>
      </c>
    </row>
    <row r="165" spans="1:4" x14ac:dyDescent="0.25">
      <c r="A165" s="9" t="s">
        <v>29</v>
      </c>
      <c r="B165" s="9"/>
      <c r="C165" s="9"/>
      <c r="D165" s="9"/>
    </row>
    <row r="166" spans="1:4" x14ac:dyDescent="0.25">
      <c r="A166" s="9" t="s">
        <v>30</v>
      </c>
      <c r="B166" s="9"/>
      <c r="C166" s="9"/>
      <c r="D166" s="9"/>
    </row>
    <row r="167" spans="1:4" x14ac:dyDescent="0.25">
      <c r="A167" s="9" t="s">
        <v>31</v>
      </c>
      <c r="B167" s="9"/>
      <c r="C167" s="9"/>
      <c r="D167" s="9"/>
    </row>
    <row r="168" spans="1:4" x14ac:dyDescent="0.25">
      <c r="A168" s="9" t="s">
        <v>32</v>
      </c>
      <c r="B168" s="9"/>
      <c r="C168" s="9"/>
      <c r="D168" s="9"/>
    </row>
    <row r="169" spans="1:4" x14ac:dyDescent="0.25">
      <c r="A169" s="9" t="s">
        <v>33</v>
      </c>
      <c r="B169" s="9"/>
      <c r="C169" s="9"/>
      <c r="D169" s="9"/>
    </row>
    <row r="170" spans="1:4" x14ac:dyDescent="0.25">
      <c r="A170" s="9" t="s">
        <v>34</v>
      </c>
      <c r="B170" s="9"/>
      <c r="C170" s="9"/>
      <c r="D170" s="9"/>
    </row>
    <row r="171" spans="1:4" x14ac:dyDescent="0.25">
      <c r="A171" s="9" t="s">
        <v>35</v>
      </c>
      <c r="B171" s="9"/>
      <c r="C171" s="9"/>
      <c r="D171" s="9"/>
    </row>
    <row r="172" spans="1:4" x14ac:dyDescent="0.25">
      <c r="A172" s="9" t="s">
        <v>36</v>
      </c>
      <c r="B172" s="9"/>
      <c r="C172" s="9"/>
      <c r="D172" s="9"/>
    </row>
    <row r="173" spans="1:4" x14ac:dyDescent="0.25">
      <c r="A173" s="9" t="s">
        <v>37</v>
      </c>
      <c r="B173" s="9"/>
      <c r="C173" s="9"/>
      <c r="D173" s="9"/>
    </row>
    <row r="174" spans="1:4" x14ac:dyDescent="0.25">
      <c r="A174" s="9" t="s">
        <v>38</v>
      </c>
      <c r="B174" s="9"/>
      <c r="C174" s="9"/>
      <c r="D174" s="9"/>
    </row>
    <row r="175" spans="1:4" x14ac:dyDescent="0.25">
      <c r="A175" s="9" t="s">
        <v>40</v>
      </c>
      <c r="B175" s="9"/>
      <c r="C175" s="9"/>
      <c r="D175" s="9"/>
    </row>
    <row r="176" spans="1:4" x14ac:dyDescent="0.25">
      <c r="A176" s="9" t="s">
        <v>39</v>
      </c>
      <c r="B176" s="9"/>
      <c r="C176" s="9"/>
      <c r="D176" s="9"/>
    </row>
    <row r="190" spans="1:2" x14ac:dyDescent="0.25">
      <c r="A190" t="s">
        <v>9</v>
      </c>
    </row>
    <row r="192" spans="1:2" x14ac:dyDescent="0.25">
      <c r="A192" t="s">
        <v>10</v>
      </c>
      <c r="B192" t="s">
        <v>11</v>
      </c>
    </row>
    <row r="194" spans="1:14" x14ac:dyDescent="0.25">
      <c r="M194">
        <v>619.9</v>
      </c>
      <c r="N194">
        <v>12.28</v>
      </c>
    </row>
    <row r="195" spans="1:14" x14ac:dyDescent="0.25">
      <c r="K195">
        <f>52891.03-4980.97-133.14-4637.1</f>
        <v>43139.82</v>
      </c>
      <c r="L195">
        <f>19910.88-1977.39-49.83-1735.75</f>
        <v>16147.91</v>
      </c>
      <c r="M195">
        <f>M194*N194*6</f>
        <v>45674.231999999996</v>
      </c>
    </row>
    <row r="200" spans="1:14" ht="15.75" x14ac:dyDescent="0.25">
      <c r="B200" s="4" t="s">
        <v>4</v>
      </c>
      <c r="C200" s="4"/>
    </row>
    <row r="201" spans="1:14" ht="15.75" x14ac:dyDescent="0.25">
      <c r="B201" s="4" t="s">
        <v>5</v>
      </c>
      <c r="C201" s="4"/>
    </row>
    <row r="202" spans="1:14" x14ac:dyDescent="0.25">
      <c r="A202" s="5" t="s">
        <v>25</v>
      </c>
      <c r="B202" s="5"/>
      <c r="C202" s="5"/>
      <c r="D202" s="5"/>
    </row>
    <row r="203" spans="1:14" x14ac:dyDescent="0.25">
      <c r="A203" s="5"/>
      <c r="B203" s="5" t="s">
        <v>6</v>
      </c>
      <c r="C203" s="5"/>
      <c r="D203" s="5"/>
    </row>
    <row r="204" spans="1:14" x14ac:dyDescent="0.25">
      <c r="A204" s="8" t="s">
        <v>18</v>
      </c>
      <c r="B204" s="8" t="s">
        <v>19</v>
      </c>
      <c r="C204" s="6">
        <v>12</v>
      </c>
    </row>
    <row r="207" spans="1:14" ht="30" x14ac:dyDescent="0.25">
      <c r="A207" s="1" t="s">
        <v>0</v>
      </c>
      <c r="B207" s="2" t="s">
        <v>1</v>
      </c>
      <c r="C207" s="2" t="s">
        <v>2</v>
      </c>
      <c r="D207" s="2" t="s">
        <v>3</v>
      </c>
    </row>
    <row r="208" spans="1:14" x14ac:dyDescent="0.25">
      <c r="A208" s="3" t="s">
        <v>26</v>
      </c>
      <c r="B208" s="1">
        <f>K159</f>
        <v>25500.949999999997</v>
      </c>
      <c r="C208" s="1">
        <f>L159</f>
        <v>14369.43</v>
      </c>
      <c r="D208" s="1">
        <f>M159</f>
        <v>26767.943999999996</v>
      </c>
    </row>
    <row r="209" spans="1:4" x14ac:dyDescent="0.25">
      <c r="A209" s="14" t="s">
        <v>12</v>
      </c>
      <c r="B209" s="15"/>
      <c r="C209" s="16"/>
      <c r="D209" s="1">
        <f>B208-D208</f>
        <v>-1266.9939999999988</v>
      </c>
    </row>
    <row r="211" spans="1:4" x14ac:dyDescent="0.25">
      <c r="A211" s="5" t="s">
        <v>27</v>
      </c>
    </row>
    <row r="213" spans="1:4" x14ac:dyDescent="0.25">
      <c r="A213" s="9" t="s">
        <v>28</v>
      </c>
    </row>
    <row r="214" spans="1:4" x14ac:dyDescent="0.25">
      <c r="A214" s="9" t="s">
        <v>29</v>
      </c>
      <c r="B214" s="9"/>
      <c r="C214" s="9"/>
      <c r="D214" s="9"/>
    </row>
    <row r="215" spans="1:4" x14ac:dyDescent="0.25">
      <c r="A215" s="9" t="s">
        <v>30</v>
      </c>
      <c r="B215" s="9"/>
      <c r="C215" s="9"/>
      <c r="D215" s="9"/>
    </row>
    <row r="216" spans="1:4" x14ac:dyDescent="0.25">
      <c r="A216" s="9" t="s">
        <v>31</v>
      </c>
      <c r="B216" s="9"/>
      <c r="C216" s="9"/>
      <c r="D216" s="9"/>
    </row>
    <row r="217" spans="1:4" x14ac:dyDescent="0.25">
      <c r="A217" s="9" t="s">
        <v>32</v>
      </c>
      <c r="B217" s="9"/>
      <c r="C217" s="9"/>
      <c r="D217" s="9"/>
    </row>
    <row r="218" spans="1:4" x14ac:dyDescent="0.25">
      <c r="A218" s="9" t="s">
        <v>33</v>
      </c>
      <c r="B218" s="9"/>
      <c r="C218" s="9"/>
      <c r="D218" s="9"/>
    </row>
    <row r="219" spans="1:4" x14ac:dyDescent="0.25">
      <c r="A219" s="9" t="s">
        <v>34</v>
      </c>
      <c r="B219" s="9"/>
      <c r="C219" s="9"/>
      <c r="D219" s="9"/>
    </row>
    <row r="220" spans="1:4" x14ac:dyDescent="0.25">
      <c r="A220" s="9" t="s">
        <v>35</v>
      </c>
      <c r="B220" s="9"/>
      <c r="C220" s="9"/>
      <c r="D220" s="9"/>
    </row>
    <row r="221" spans="1:4" x14ac:dyDescent="0.25">
      <c r="A221" s="9" t="s">
        <v>36</v>
      </c>
      <c r="B221" s="9"/>
      <c r="C221" s="9"/>
      <c r="D221" s="9"/>
    </row>
    <row r="222" spans="1:4" x14ac:dyDescent="0.25">
      <c r="A222" s="9" t="s">
        <v>37</v>
      </c>
      <c r="B222" s="9"/>
      <c r="C222" s="9"/>
      <c r="D222" s="9"/>
    </row>
    <row r="223" spans="1:4" x14ac:dyDescent="0.25">
      <c r="A223" s="9" t="s">
        <v>38</v>
      </c>
      <c r="B223" s="9"/>
      <c r="C223" s="9"/>
      <c r="D223" s="9"/>
    </row>
    <row r="224" spans="1:4" x14ac:dyDescent="0.25">
      <c r="A224" s="9" t="s">
        <v>40</v>
      </c>
      <c r="B224" s="9"/>
      <c r="C224" s="9"/>
      <c r="D224" s="9"/>
    </row>
    <row r="225" spans="1:14" x14ac:dyDescent="0.25">
      <c r="A225" s="9" t="s">
        <v>39</v>
      </c>
      <c r="B225" s="9"/>
      <c r="C225" s="9"/>
      <c r="D225" s="9"/>
    </row>
    <row r="228" spans="1:14" x14ac:dyDescent="0.25">
      <c r="M228">
        <v>343.8</v>
      </c>
      <c r="N228">
        <v>12.28</v>
      </c>
    </row>
    <row r="229" spans="1:14" x14ac:dyDescent="0.25">
      <c r="K229">
        <f>31483.89-3228.87-200.7-2723.04</f>
        <v>25331.279999999999</v>
      </c>
      <c r="L229">
        <f>114102.8-1452.67-89.83-1219.13</f>
        <v>111341.17</v>
      </c>
      <c r="M229">
        <f>M228*N228*6</f>
        <v>25331.183999999997</v>
      </c>
    </row>
    <row r="239" spans="1:14" x14ac:dyDescent="0.25">
      <c r="A239" t="s">
        <v>9</v>
      </c>
    </row>
    <row r="241" spans="1:4" x14ac:dyDescent="0.25">
      <c r="A241" t="s">
        <v>10</v>
      </c>
      <c r="B241" t="s">
        <v>11</v>
      </c>
    </row>
    <row r="249" spans="1:4" ht="15.75" x14ac:dyDescent="0.25">
      <c r="B249" s="4" t="s">
        <v>4</v>
      </c>
      <c r="C249" s="4"/>
    </row>
    <row r="250" spans="1:4" ht="15.75" x14ac:dyDescent="0.25">
      <c r="B250" s="4" t="s">
        <v>5</v>
      </c>
      <c r="C250" s="4"/>
    </row>
    <row r="251" spans="1:4" x14ac:dyDescent="0.25">
      <c r="A251" s="5" t="s">
        <v>25</v>
      </c>
      <c r="B251" s="5"/>
      <c r="C251" s="5"/>
      <c r="D251" s="5"/>
    </row>
    <row r="252" spans="1:4" x14ac:dyDescent="0.25">
      <c r="A252" s="5"/>
      <c r="B252" s="5" t="s">
        <v>6</v>
      </c>
      <c r="C252" s="5"/>
      <c r="D252" s="5"/>
    </row>
    <row r="253" spans="1:4" x14ac:dyDescent="0.25">
      <c r="A253" s="8" t="s">
        <v>18</v>
      </c>
      <c r="B253" s="8" t="s">
        <v>19</v>
      </c>
      <c r="C253" s="6">
        <v>13</v>
      </c>
    </row>
    <row r="256" spans="1:4" ht="30" x14ac:dyDescent="0.25">
      <c r="A256" s="1" t="s">
        <v>0</v>
      </c>
      <c r="B256" s="2" t="s">
        <v>1</v>
      </c>
      <c r="C256" s="2" t="s">
        <v>2</v>
      </c>
      <c r="D256" s="2" t="s">
        <v>3</v>
      </c>
    </row>
    <row r="257" spans="1:14" x14ac:dyDescent="0.25">
      <c r="A257" s="3" t="s">
        <v>26</v>
      </c>
      <c r="B257" s="1">
        <f>K195</f>
        <v>43139.82</v>
      </c>
      <c r="C257" s="1">
        <f>L195</f>
        <v>16147.91</v>
      </c>
      <c r="D257" s="10">
        <f>M195</f>
        <v>45674.231999999996</v>
      </c>
    </row>
    <row r="258" spans="1:14" x14ac:dyDescent="0.25">
      <c r="A258" s="14" t="s">
        <v>12</v>
      </c>
      <c r="B258" s="15"/>
      <c r="C258" s="16"/>
      <c r="D258" s="10">
        <f>B257-D257</f>
        <v>-2534.4119999999966</v>
      </c>
    </row>
    <row r="260" spans="1:14" x14ac:dyDescent="0.25">
      <c r="A260" s="5" t="s">
        <v>27</v>
      </c>
    </row>
    <row r="262" spans="1:14" x14ac:dyDescent="0.25">
      <c r="A262" s="9" t="s">
        <v>28</v>
      </c>
    </row>
    <row r="263" spans="1:14" x14ac:dyDescent="0.25">
      <c r="A263" s="9" t="s">
        <v>29</v>
      </c>
      <c r="B263" s="9"/>
      <c r="C263" s="9"/>
      <c r="D263" s="9"/>
    </row>
    <row r="264" spans="1:14" x14ac:dyDescent="0.25">
      <c r="A264" s="9" t="s">
        <v>31</v>
      </c>
      <c r="B264" s="9"/>
      <c r="C264" s="9"/>
      <c r="D264" s="9"/>
      <c r="M264">
        <v>353.8</v>
      </c>
      <c r="N264">
        <v>12.28</v>
      </c>
    </row>
    <row r="265" spans="1:14" x14ac:dyDescent="0.25">
      <c r="A265" s="9" t="s">
        <v>32</v>
      </c>
      <c r="B265" s="9"/>
      <c r="C265" s="9"/>
      <c r="D265" s="9"/>
      <c r="K265">
        <f>50724.87-17309.25-4355.22-190.02-2802.06</f>
        <v>26068.32</v>
      </c>
      <c r="L265">
        <f>18183.33-171.19-4443.19-1222.75-80.75-1190.44</f>
        <v>11075.010000000004</v>
      </c>
      <c r="M265">
        <f>M264*N264*6</f>
        <v>26067.983999999997</v>
      </c>
    </row>
    <row r="266" spans="1:14" x14ac:dyDescent="0.25">
      <c r="A266" s="9" t="s">
        <v>34</v>
      </c>
      <c r="B266" s="9"/>
      <c r="C266" s="9"/>
      <c r="D266" s="9"/>
    </row>
    <row r="267" spans="1:14" x14ac:dyDescent="0.25">
      <c r="A267" s="9" t="s">
        <v>35</v>
      </c>
      <c r="B267" s="9"/>
      <c r="C267" s="9"/>
      <c r="D267" s="9"/>
    </row>
    <row r="268" spans="1:14" x14ac:dyDescent="0.25">
      <c r="A268" s="9" t="s">
        <v>36</v>
      </c>
      <c r="B268" s="9"/>
      <c r="C268" s="9"/>
      <c r="D268" s="9"/>
    </row>
    <row r="269" spans="1:14" x14ac:dyDescent="0.25">
      <c r="A269" s="9" t="s">
        <v>37</v>
      </c>
      <c r="B269" s="9"/>
      <c r="C269" s="9"/>
      <c r="D269" s="9"/>
    </row>
    <row r="270" spans="1:14" x14ac:dyDescent="0.25">
      <c r="A270" s="9" t="s">
        <v>38</v>
      </c>
      <c r="B270" s="9"/>
      <c r="C270" s="9"/>
      <c r="D270" s="9"/>
    </row>
    <row r="271" spans="1:14" x14ac:dyDescent="0.25">
      <c r="A271" s="9" t="s">
        <v>40</v>
      </c>
      <c r="B271" s="9"/>
      <c r="C271" s="9"/>
      <c r="D271" s="9"/>
    </row>
    <row r="272" spans="1:14" x14ac:dyDescent="0.25">
      <c r="A272" s="9" t="s">
        <v>39</v>
      </c>
      <c r="B272" s="9"/>
      <c r="C272" s="9"/>
      <c r="D272" s="9"/>
    </row>
    <row r="288" spans="1:1" x14ac:dyDescent="0.25">
      <c r="A288" t="s">
        <v>9</v>
      </c>
    </row>
    <row r="290" spans="1:4" x14ac:dyDescent="0.25">
      <c r="A290" t="s">
        <v>10</v>
      </c>
      <c r="B290" t="s">
        <v>11</v>
      </c>
    </row>
    <row r="298" spans="1:4" ht="15.75" x14ac:dyDescent="0.25">
      <c r="B298" s="4" t="s">
        <v>4</v>
      </c>
      <c r="C298" s="4"/>
    </row>
    <row r="299" spans="1:4" ht="15.75" x14ac:dyDescent="0.25">
      <c r="B299" s="4" t="s">
        <v>5</v>
      </c>
      <c r="C299" s="4"/>
    </row>
    <row r="300" spans="1:4" x14ac:dyDescent="0.25">
      <c r="A300" s="5" t="s">
        <v>25</v>
      </c>
      <c r="B300" s="5"/>
      <c r="C300" s="5"/>
      <c r="D300" s="5"/>
    </row>
    <row r="301" spans="1:4" x14ac:dyDescent="0.25">
      <c r="A301" s="5"/>
      <c r="B301" s="5" t="s">
        <v>6</v>
      </c>
      <c r="C301" s="5"/>
      <c r="D301" s="5"/>
    </row>
    <row r="302" spans="1:4" x14ac:dyDescent="0.25">
      <c r="A302" s="8" t="s">
        <v>18</v>
      </c>
      <c r="B302" s="8" t="s">
        <v>19</v>
      </c>
      <c r="C302" s="6">
        <v>16</v>
      </c>
    </row>
    <row r="305" spans="1:4" ht="30" x14ac:dyDescent="0.25">
      <c r="A305" s="1" t="s">
        <v>0</v>
      </c>
      <c r="B305" s="2" t="s">
        <v>1</v>
      </c>
      <c r="C305" s="2" t="s">
        <v>2</v>
      </c>
      <c r="D305" s="2" t="s">
        <v>3</v>
      </c>
    </row>
    <row r="306" spans="1:4" x14ac:dyDescent="0.25">
      <c r="A306" s="3" t="s">
        <v>26</v>
      </c>
      <c r="B306" s="1">
        <f>K229</f>
        <v>25331.279999999999</v>
      </c>
      <c r="C306" s="1">
        <f>L229</f>
        <v>111341.17</v>
      </c>
      <c r="D306" s="1">
        <f>M229</f>
        <v>25331.183999999997</v>
      </c>
    </row>
    <row r="307" spans="1:4" x14ac:dyDescent="0.25">
      <c r="A307" s="14" t="s">
        <v>8</v>
      </c>
      <c r="B307" s="15"/>
      <c r="C307" s="16"/>
      <c r="D307" s="1">
        <f>B306-D306</f>
        <v>9.600000000136788E-2</v>
      </c>
    </row>
    <row r="309" spans="1:4" x14ac:dyDescent="0.25">
      <c r="A309" s="5" t="s">
        <v>27</v>
      </c>
    </row>
    <row r="311" spans="1:4" x14ac:dyDescent="0.25">
      <c r="A311" s="9" t="s">
        <v>28</v>
      </c>
    </row>
    <row r="312" spans="1:4" x14ac:dyDescent="0.25">
      <c r="A312" s="9" t="s">
        <v>29</v>
      </c>
      <c r="B312" s="9"/>
      <c r="C312" s="9"/>
      <c r="D312" s="9"/>
    </row>
    <row r="313" spans="1:4" x14ac:dyDescent="0.25">
      <c r="A313" s="9" t="s">
        <v>30</v>
      </c>
      <c r="B313" s="9"/>
      <c r="C313" s="9"/>
      <c r="D313" s="9"/>
    </row>
    <row r="314" spans="1:4" x14ac:dyDescent="0.25">
      <c r="A314" s="9" t="s">
        <v>31</v>
      </c>
      <c r="B314" s="9"/>
      <c r="C314" s="9"/>
      <c r="D314" s="9"/>
    </row>
    <row r="315" spans="1:4" x14ac:dyDescent="0.25">
      <c r="A315" s="9" t="s">
        <v>32</v>
      </c>
      <c r="B315" s="9"/>
      <c r="C315" s="9"/>
      <c r="D315" s="9"/>
    </row>
    <row r="316" spans="1:4" x14ac:dyDescent="0.25">
      <c r="A316" s="9" t="s">
        <v>33</v>
      </c>
      <c r="B316" s="9"/>
      <c r="C316" s="9"/>
      <c r="D316" s="9"/>
    </row>
    <row r="317" spans="1:4" x14ac:dyDescent="0.25">
      <c r="A317" s="9" t="s">
        <v>34</v>
      </c>
      <c r="B317" s="9"/>
      <c r="C317" s="9"/>
      <c r="D317" s="9"/>
    </row>
    <row r="318" spans="1:4" x14ac:dyDescent="0.25">
      <c r="A318" s="9" t="s">
        <v>35</v>
      </c>
      <c r="B318" s="9"/>
      <c r="C318" s="9"/>
      <c r="D318" s="9"/>
    </row>
    <row r="319" spans="1:4" x14ac:dyDescent="0.25">
      <c r="A319" s="9" t="s">
        <v>36</v>
      </c>
      <c r="B319" s="9"/>
      <c r="C319" s="9"/>
      <c r="D319" s="9"/>
    </row>
    <row r="320" spans="1:4" x14ac:dyDescent="0.25">
      <c r="A320" s="9" t="s">
        <v>37</v>
      </c>
      <c r="B320" s="9"/>
      <c r="C320" s="9"/>
      <c r="D320" s="9"/>
    </row>
    <row r="321" spans="1:4" x14ac:dyDescent="0.25">
      <c r="A321" s="9" t="s">
        <v>38</v>
      </c>
      <c r="B321" s="9"/>
      <c r="C321" s="9"/>
      <c r="D321" s="9"/>
    </row>
    <row r="322" spans="1:4" x14ac:dyDescent="0.25">
      <c r="A322" s="9" t="s">
        <v>40</v>
      </c>
      <c r="B322" s="9"/>
      <c r="C322" s="9"/>
      <c r="D322" s="9"/>
    </row>
    <row r="323" spans="1:4" x14ac:dyDescent="0.25">
      <c r="A323" s="9" t="s">
        <v>39</v>
      </c>
      <c r="B323" s="9"/>
      <c r="C323" s="9"/>
      <c r="D323" s="9"/>
    </row>
    <row r="337" spans="1:4" x14ac:dyDescent="0.25">
      <c r="A337" t="s">
        <v>9</v>
      </c>
    </row>
    <row r="339" spans="1:4" x14ac:dyDescent="0.25">
      <c r="A339" t="s">
        <v>10</v>
      </c>
      <c r="B339" t="s">
        <v>11</v>
      </c>
    </row>
    <row r="347" spans="1:4" ht="15.75" x14ac:dyDescent="0.25">
      <c r="B347" s="4" t="s">
        <v>4</v>
      </c>
      <c r="C347" s="4"/>
    </row>
    <row r="348" spans="1:4" ht="15.75" x14ac:dyDescent="0.25">
      <c r="B348" s="4" t="s">
        <v>5</v>
      </c>
      <c r="C348" s="4"/>
    </row>
    <row r="349" spans="1:4" x14ac:dyDescent="0.25">
      <c r="A349" s="5" t="s">
        <v>25</v>
      </c>
      <c r="B349" s="5"/>
      <c r="C349" s="5"/>
      <c r="D349" s="5"/>
    </row>
    <row r="350" spans="1:4" x14ac:dyDescent="0.25">
      <c r="A350" s="5"/>
      <c r="B350" s="5" t="s">
        <v>6</v>
      </c>
      <c r="C350" s="5"/>
      <c r="D350" s="5"/>
    </row>
    <row r="351" spans="1:4" x14ac:dyDescent="0.25">
      <c r="A351" s="8" t="s">
        <v>18</v>
      </c>
      <c r="B351" s="8" t="s">
        <v>19</v>
      </c>
      <c r="C351" s="6">
        <v>18</v>
      </c>
    </row>
    <row r="354" spans="1:4" ht="30" x14ac:dyDescent="0.25">
      <c r="A354" s="1" t="s">
        <v>0</v>
      </c>
      <c r="B354" s="2" t="s">
        <v>1</v>
      </c>
      <c r="C354" s="2" t="s">
        <v>2</v>
      </c>
      <c r="D354" s="2" t="s">
        <v>3</v>
      </c>
    </row>
    <row r="355" spans="1:4" x14ac:dyDescent="0.25">
      <c r="A355" s="3" t="s">
        <v>26</v>
      </c>
      <c r="B355" s="1">
        <f>K265</f>
        <v>26068.32</v>
      </c>
      <c r="C355" s="1">
        <f>L265</f>
        <v>11075.010000000004</v>
      </c>
      <c r="D355" s="1">
        <f>M265</f>
        <v>26067.983999999997</v>
      </c>
    </row>
    <row r="356" spans="1:4" x14ac:dyDescent="0.25">
      <c r="A356" s="14" t="s">
        <v>8</v>
      </c>
      <c r="B356" s="15"/>
      <c r="C356" s="16"/>
      <c r="D356" s="1">
        <f>B355-D355</f>
        <v>0.33600000000296859</v>
      </c>
    </row>
    <row r="358" spans="1:4" x14ac:dyDescent="0.25">
      <c r="A358" s="5" t="s">
        <v>27</v>
      </c>
    </row>
    <row r="360" spans="1:4" x14ac:dyDescent="0.25">
      <c r="A360" s="9" t="s">
        <v>28</v>
      </c>
    </row>
    <row r="361" spans="1:4" x14ac:dyDescent="0.25">
      <c r="A361" s="9" t="s">
        <v>29</v>
      </c>
      <c r="B361" s="9"/>
      <c r="C361" s="9"/>
      <c r="D361" s="9"/>
    </row>
    <row r="362" spans="1:4" x14ac:dyDescent="0.25">
      <c r="A362" s="9" t="s">
        <v>30</v>
      </c>
      <c r="B362" s="9"/>
      <c r="C362" s="9"/>
      <c r="D362" s="9"/>
    </row>
    <row r="363" spans="1:4" x14ac:dyDescent="0.25">
      <c r="A363" s="9" t="s">
        <v>31</v>
      </c>
      <c r="B363" s="9"/>
      <c r="C363" s="9"/>
      <c r="D363" s="9"/>
    </row>
    <row r="364" spans="1:4" x14ac:dyDescent="0.25">
      <c r="A364" s="9" t="s">
        <v>32</v>
      </c>
      <c r="B364" s="9"/>
      <c r="C364" s="9"/>
      <c r="D364" s="9"/>
    </row>
    <row r="365" spans="1:4" x14ac:dyDescent="0.25">
      <c r="A365" s="9" t="s">
        <v>33</v>
      </c>
      <c r="B365" s="9"/>
      <c r="C365" s="9"/>
      <c r="D365" s="9"/>
    </row>
    <row r="366" spans="1:4" x14ac:dyDescent="0.25">
      <c r="A366" s="9" t="s">
        <v>34</v>
      </c>
      <c r="B366" s="9"/>
      <c r="C366" s="9"/>
      <c r="D366" s="9"/>
    </row>
    <row r="367" spans="1:4" x14ac:dyDescent="0.25">
      <c r="A367" s="9" t="s">
        <v>35</v>
      </c>
      <c r="B367" s="9"/>
      <c r="C367" s="9"/>
      <c r="D367" s="9"/>
    </row>
    <row r="368" spans="1:4" x14ac:dyDescent="0.25">
      <c r="A368" s="9" t="s">
        <v>36</v>
      </c>
      <c r="B368" s="9"/>
      <c r="C368" s="9"/>
      <c r="D368" s="9"/>
    </row>
    <row r="369" spans="1:4" x14ac:dyDescent="0.25">
      <c r="A369" s="9" t="s">
        <v>37</v>
      </c>
      <c r="B369" s="9"/>
      <c r="C369" s="9"/>
      <c r="D369" s="9"/>
    </row>
    <row r="370" spans="1:4" x14ac:dyDescent="0.25">
      <c r="A370" s="9" t="s">
        <v>38</v>
      </c>
      <c r="B370" s="9"/>
      <c r="C370" s="9"/>
      <c r="D370" s="9"/>
    </row>
    <row r="371" spans="1:4" x14ac:dyDescent="0.25">
      <c r="A371" s="9" t="s">
        <v>40</v>
      </c>
      <c r="B371" s="9"/>
      <c r="C371" s="9"/>
      <c r="D371" s="9"/>
    </row>
    <row r="372" spans="1:4" x14ac:dyDescent="0.25">
      <c r="A372" s="9" t="s">
        <v>39</v>
      </c>
      <c r="B372" s="9"/>
      <c r="C372" s="9"/>
      <c r="D372" s="9"/>
    </row>
    <row r="386" spans="1:2" x14ac:dyDescent="0.25">
      <c r="A386" t="s">
        <v>9</v>
      </c>
    </row>
    <row r="388" spans="1:2" x14ac:dyDescent="0.25">
      <c r="A388" t="s">
        <v>10</v>
      </c>
      <c r="B388" t="s">
        <v>11</v>
      </c>
    </row>
  </sheetData>
  <mergeCells count="8">
    <mergeCell ref="A258:C258"/>
    <mergeCell ref="A307:C307"/>
    <mergeCell ref="A356:C356"/>
    <mergeCell ref="A209:C209"/>
    <mergeCell ref="A13:C13"/>
    <mergeCell ref="A62:C62"/>
    <mergeCell ref="A111:C111"/>
    <mergeCell ref="A160:C160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23"/>
  <sheetViews>
    <sheetView topLeftCell="A1083" workbookViewId="0">
      <selection sqref="A1:E1127"/>
    </sheetView>
  </sheetViews>
  <sheetFormatPr defaultRowHeight="15" x14ac:dyDescent="0.25"/>
  <cols>
    <col min="1" max="1" width="29" customWidth="1"/>
    <col min="2" max="2" width="17.7109375" customWidth="1"/>
    <col min="3" max="3" width="13.7109375" customWidth="1"/>
    <col min="4" max="4" width="17.5703125" customWidth="1"/>
    <col min="7" max="7" width="0.85546875" customWidth="1"/>
    <col min="8" max="10" width="8.85546875" hidden="1" customWidth="1"/>
  </cols>
  <sheetData>
    <row r="3" spans="1:14" ht="15.75" x14ac:dyDescent="0.25">
      <c r="B3" s="4"/>
      <c r="C3" s="4"/>
    </row>
    <row r="4" spans="1:14" ht="15.75" x14ac:dyDescent="0.25">
      <c r="B4" s="4" t="s">
        <v>4</v>
      </c>
      <c r="C4" s="4"/>
    </row>
    <row r="5" spans="1:14" ht="15.75" x14ac:dyDescent="0.25">
      <c r="B5" s="4" t="s">
        <v>5</v>
      </c>
      <c r="C5" s="4"/>
    </row>
    <row r="6" spans="1:14" x14ac:dyDescent="0.25">
      <c r="A6" s="5" t="s">
        <v>25</v>
      </c>
      <c r="B6" s="5"/>
      <c r="C6" s="5"/>
      <c r="D6" s="5"/>
    </row>
    <row r="7" spans="1:14" ht="15" customHeight="1" x14ac:dyDescent="0.25">
      <c r="A7" s="5"/>
      <c r="B7" s="5" t="s">
        <v>6</v>
      </c>
      <c r="C7" s="5"/>
      <c r="D7" s="5"/>
    </row>
    <row r="8" spans="1:14" x14ac:dyDescent="0.25">
      <c r="A8" s="8" t="s">
        <v>41</v>
      </c>
      <c r="B8" s="8" t="s">
        <v>7</v>
      </c>
      <c r="C8" s="6">
        <v>1</v>
      </c>
    </row>
    <row r="9" spans="1:14" x14ac:dyDescent="0.25">
      <c r="M9">
        <v>724.3</v>
      </c>
      <c r="N9">
        <v>14.14</v>
      </c>
    </row>
    <row r="10" spans="1:14" x14ac:dyDescent="0.25">
      <c r="K10">
        <f>281383.75-160316.52-15901.31-161.64-16644.36-26909.3</f>
        <v>61450.62000000001</v>
      </c>
      <c r="L10">
        <f>209533.1-120486.41-11229.4-121.46-12509.12-19003.32</f>
        <v>46183.39</v>
      </c>
      <c r="M10">
        <f>M9*N9*6</f>
        <v>61449.611999999994</v>
      </c>
    </row>
    <row r="11" spans="1:14" ht="30" x14ac:dyDescent="0.25">
      <c r="A11" s="1" t="s">
        <v>0</v>
      </c>
      <c r="B11" s="2" t="s">
        <v>1</v>
      </c>
      <c r="C11" s="2" t="s">
        <v>2</v>
      </c>
      <c r="D11" s="2" t="s">
        <v>3</v>
      </c>
    </row>
    <row r="12" spans="1:14" x14ac:dyDescent="0.25">
      <c r="A12" s="3" t="s">
        <v>26</v>
      </c>
      <c r="B12" s="1">
        <f>K10</f>
        <v>61450.62000000001</v>
      </c>
      <c r="C12" s="1">
        <f>L10</f>
        <v>46183.39</v>
      </c>
      <c r="D12" s="10">
        <f>M10</f>
        <v>61449.611999999994</v>
      </c>
    </row>
    <row r="13" spans="1:14" x14ac:dyDescent="0.25">
      <c r="A13" s="14" t="s">
        <v>8</v>
      </c>
      <c r="B13" s="15"/>
      <c r="C13" s="16"/>
      <c r="D13" s="10">
        <f>B12-D12</f>
        <v>1.0080000000161817</v>
      </c>
    </row>
    <row r="15" spans="1:14" x14ac:dyDescent="0.25">
      <c r="A15" s="5" t="s">
        <v>27</v>
      </c>
    </row>
    <row r="17" spans="1:4" x14ac:dyDescent="0.25">
      <c r="A17" s="9" t="s">
        <v>28</v>
      </c>
    </row>
    <row r="18" spans="1:4" x14ac:dyDescent="0.25">
      <c r="A18" s="9" t="s">
        <v>29</v>
      </c>
      <c r="B18" s="9"/>
      <c r="C18" s="9"/>
      <c r="D18" s="9"/>
    </row>
    <row r="19" spans="1:4" x14ac:dyDescent="0.25">
      <c r="A19" s="9" t="s">
        <v>30</v>
      </c>
      <c r="B19" s="9"/>
      <c r="C19" s="9"/>
      <c r="D19" s="9"/>
    </row>
    <row r="20" spans="1:4" x14ac:dyDescent="0.25">
      <c r="A20" s="9" t="s">
        <v>31</v>
      </c>
      <c r="B20" s="9"/>
      <c r="C20" s="9"/>
      <c r="D20" s="9"/>
    </row>
    <row r="21" spans="1:4" x14ac:dyDescent="0.25">
      <c r="A21" s="9" t="s">
        <v>32</v>
      </c>
      <c r="B21" s="9"/>
      <c r="C21" s="9"/>
      <c r="D21" s="9"/>
    </row>
    <row r="22" spans="1:4" x14ac:dyDescent="0.25">
      <c r="A22" s="9" t="s">
        <v>33</v>
      </c>
      <c r="B22" s="9"/>
      <c r="C22" s="9"/>
      <c r="D22" s="9"/>
    </row>
    <row r="23" spans="1:4" x14ac:dyDescent="0.25">
      <c r="A23" s="9" t="s">
        <v>34</v>
      </c>
      <c r="B23" s="9"/>
      <c r="C23" s="9"/>
      <c r="D23" s="9"/>
    </row>
    <row r="24" spans="1:4" x14ac:dyDescent="0.25">
      <c r="A24" s="9" t="s">
        <v>35</v>
      </c>
      <c r="B24" s="9"/>
      <c r="C24" s="9"/>
      <c r="D24" s="9"/>
    </row>
    <row r="25" spans="1:4" x14ac:dyDescent="0.25">
      <c r="A25" s="9" t="s">
        <v>36</v>
      </c>
      <c r="B25" s="9"/>
      <c r="C25" s="9"/>
      <c r="D25" s="9"/>
    </row>
    <row r="26" spans="1:4" x14ac:dyDescent="0.25">
      <c r="A26" s="9" t="s">
        <v>37</v>
      </c>
      <c r="B26" s="9"/>
      <c r="C26" s="9"/>
      <c r="D26" s="9"/>
    </row>
    <row r="27" spans="1:4" x14ac:dyDescent="0.25">
      <c r="A27" s="9" t="s">
        <v>38</v>
      </c>
      <c r="B27" s="9"/>
      <c r="C27" s="9"/>
      <c r="D27" s="9"/>
    </row>
    <row r="28" spans="1:4" x14ac:dyDescent="0.25">
      <c r="A28" s="9" t="s">
        <v>40</v>
      </c>
      <c r="B28" s="9"/>
      <c r="C28" s="9"/>
      <c r="D28" s="9"/>
    </row>
    <row r="29" spans="1:4" x14ac:dyDescent="0.25">
      <c r="A29" s="9" t="s">
        <v>39</v>
      </c>
      <c r="B29" s="9"/>
      <c r="C29" s="9"/>
      <c r="D29" s="9"/>
    </row>
    <row r="30" spans="1:4" x14ac:dyDescent="0.25">
      <c r="A30" s="9"/>
      <c r="B30" s="9"/>
      <c r="C30" s="9"/>
      <c r="D30" s="9"/>
    </row>
    <row r="31" spans="1:4" x14ac:dyDescent="0.25">
      <c r="A31" s="9"/>
      <c r="B31" s="9"/>
      <c r="C31" s="9"/>
      <c r="D31" s="9"/>
    </row>
    <row r="32" spans="1:4" x14ac:dyDescent="0.25">
      <c r="A32" s="9"/>
      <c r="B32" s="9"/>
      <c r="C32" s="9"/>
      <c r="D32" s="9"/>
    </row>
    <row r="33" spans="1:14" x14ac:dyDescent="0.25">
      <c r="A33" s="9"/>
      <c r="B33" s="9"/>
      <c r="C33" s="9"/>
      <c r="D33" s="9"/>
    </row>
    <row r="34" spans="1:14" x14ac:dyDescent="0.25">
      <c r="A34" s="9"/>
      <c r="B34" s="9"/>
      <c r="C34" s="9"/>
      <c r="D34" s="9"/>
    </row>
    <row r="35" spans="1:14" x14ac:dyDescent="0.25">
      <c r="A35" s="9"/>
      <c r="B35" s="9"/>
      <c r="C35" s="9"/>
      <c r="D35" s="9"/>
    </row>
    <row r="36" spans="1:14" x14ac:dyDescent="0.25">
      <c r="A36" s="9"/>
      <c r="B36" s="9"/>
      <c r="C36" s="9"/>
      <c r="D36" s="9"/>
    </row>
    <row r="37" spans="1:14" x14ac:dyDescent="0.25">
      <c r="A37" s="9"/>
      <c r="B37" s="9"/>
      <c r="C37" s="9"/>
      <c r="D37" s="9"/>
    </row>
    <row r="43" spans="1:14" x14ac:dyDescent="0.25">
      <c r="A43" t="s">
        <v>9</v>
      </c>
    </row>
    <row r="45" spans="1:14" x14ac:dyDescent="0.25">
      <c r="A45" t="s">
        <v>10</v>
      </c>
      <c r="B45" t="s">
        <v>11</v>
      </c>
      <c r="M45">
        <v>738.7</v>
      </c>
      <c r="N45">
        <v>14.14</v>
      </c>
    </row>
    <row r="46" spans="1:14" x14ac:dyDescent="0.25">
      <c r="K46">
        <f>291365.33-163503.96-17847.37-164.22-16975.32-30202.6</f>
        <v>62671.860000000022</v>
      </c>
      <c r="L46">
        <f>233922.45-130756.14-14612.26-131.31-13575.37-24727.96</f>
        <v>50119.410000000025</v>
      </c>
      <c r="M46">
        <f>M45*N45*6</f>
        <v>62671.308000000005</v>
      </c>
    </row>
    <row r="53" spans="1:4" ht="15.75" x14ac:dyDescent="0.25">
      <c r="B53" s="4" t="s">
        <v>4</v>
      </c>
      <c r="C53" s="4"/>
    </row>
    <row r="54" spans="1:4" ht="15.75" x14ac:dyDescent="0.25">
      <c r="B54" s="4" t="s">
        <v>5</v>
      </c>
      <c r="C54" s="4"/>
    </row>
    <row r="55" spans="1:4" x14ac:dyDescent="0.25">
      <c r="A55" s="5" t="s">
        <v>25</v>
      </c>
      <c r="B55" s="5"/>
      <c r="C55" s="5"/>
      <c r="D55" s="5"/>
    </row>
    <row r="56" spans="1:4" x14ac:dyDescent="0.25">
      <c r="A56" s="5"/>
      <c r="B56" s="5" t="s">
        <v>6</v>
      </c>
      <c r="C56" s="5"/>
      <c r="D56" s="5"/>
    </row>
    <row r="57" spans="1:4" x14ac:dyDescent="0.25">
      <c r="A57" s="8" t="s">
        <v>41</v>
      </c>
      <c r="B57" s="8" t="s">
        <v>7</v>
      </c>
      <c r="C57" s="6">
        <v>3</v>
      </c>
    </row>
    <row r="60" spans="1:4" ht="30" x14ac:dyDescent="0.25">
      <c r="A60" s="1" t="s">
        <v>0</v>
      </c>
      <c r="B60" s="2" t="s">
        <v>1</v>
      </c>
      <c r="C60" s="2" t="s">
        <v>2</v>
      </c>
      <c r="D60" s="2" t="s">
        <v>3</v>
      </c>
    </row>
    <row r="61" spans="1:4" x14ac:dyDescent="0.25">
      <c r="A61" s="3" t="s">
        <v>26</v>
      </c>
      <c r="B61" s="1">
        <f>K46</f>
        <v>62671.860000000022</v>
      </c>
      <c r="C61" s="1">
        <f>L46</f>
        <v>50119.410000000025</v>
      </c>
      <c r="D61" s="10">
        <f>M46</f>
        <v>62671.308000000005</v>
      </c>
    </row>
    <row r="62" spans="1:4" x14ac:dyDescent="0.25">
      <c r="A62" s="14" t="s">
        <v>8</v>
      </c>
      <c r="B62" s="15"/>
      <c r="C62" s="16"/>
      <c r="D62" s="10">
        <f>B61-D61</f>
        <v>0.55200000001786975</v>
      </c>
    </row>
    <row r="64" spans="1:4" x14ac:dyDescent="0.25">
      <c r="A64" s="5" t="s">
        <v>27</v>
      </c>
    </row>
    <row r="66" spans="1:4" x14ac:dyDescent="0.25">
      <c r="A66" s="9" t="s">
        <v>28</v>
      </c>
    </row>
    <row r="67" spans="1:4" x14ac:dyDescent="0.25">
      <c r="A67" s="9" t="s">
        <v>29</v>
      </c>
      <c r="B67" s="9"/>
      <c r="C67" s="9"/>
      <c r="D67" s="9"/>
    </row>
    <row r="68" spans="1:4" x14ac:dyDescent="0.25">
      <c r="A68" s="9" t="s">
        <v>30</v>
      </c>
      <c r="B68" s="9"/>
      <c r="C68" s="9"/>
      <c r="D68" s="9"/>
    </row>
    <row r="69" spans="1:4" x14ac:dyDescent="0.25">
      <c r="A69" s="9" t="s">
        <v>31</v>
      </c>
      <c r="B69" s="9"/>
      <c r="C69" s="9"/>
      <c r="D69" s="9"/>
    </row>
    <row r="70" spans="1:4" x14ac:dyDescent="0.25">
      <c r="A70" s="9" t="s">
        <v>32</v>
      </c>
      <c r="B70" s="9"/>
      <c r="C70" s="9"/>
      <c r="D70" s="9"/>
    </row>
    <row r="71" spans="1:4" x14ac:dyDescent="0.25">
      <c r="A71" s="9" t="s">
        <v>33</v>
      </c>
      <c r="B71" s="9"/>
      <c r="C71" s="9"/>
      <c r="D71" s="9"/>
    </row>
    <row r="72" spans="1:4" x14ac:dyDescent="0.25">
      <c r="A72" s="9" t="s">
        <v>34</v>
      </c>
      <c r="B72" s="9"/>
      <c r="C72" s="9"/>
      <c r="D72" s="9"/>
    </row>
    <row r="73" spans="1:4" x14ac:dyDescent="0.25">
      <c r="A73" s="9" t="s">
        <v>35</v>
      </c>
      <c r="B73" s="9"/>
      <c r="C73" s="9"/>
      <c r="D73" s="9"/>
    </row>
    <row r="74" spans="1:4" x14ac:dyDescent="0.25">
      <c r="A74" s="9" t="s">
        <v>36</v>
      </c>
      <c r="B74" s="9"/>
      <c r="C74" s="9"/>
      <c r="D74" s="9"/>
    </row>
    <row r="75" spans="1:4" x14ac:dyDescent="0.25">
      <c r="A75" s="9" t="s">
        <v>37</v>
      </c>
      <c r="B75" s="9"/>
      <c r="C75" s="9"/>
      <c r="D75" s="9"/>
    </row>
    <row r="76" spans="1:4" x14ac:dyDescent="0.25">
      <c r="A76" s="9" t="s">
        <v>38</v>
      </c>
      <c r="B76" s="9"/>
      <c r="C76" s="9"/>
      <c r="D76" s="9"/>
    </row>
    <row r="77" spans="1:4" x14ac:dyDescent="0.25">
      <c r="A77" s="9" t="s">
        <v>40</v>
      </c>
      <c r="B77" s="9"/>
      <c r="C77" s="9"/>
      <c r="D77" s="9"/>
    </row>
    <row r="78" spans="1:4" x14ac:dyDescent="0.25">
      <c r="A78" s="9" t="s">
        <v>39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14" x14ac:dyDescent="0.25">
      <c r="A81" s="9"/>
      <c r="B81" s="9"/>
      <c r="C81" s="9"/>
      <c r="D81" s="9"/>
      <c r="M81">
        <v>728.2</v>
      </c>
      <c r="N81">
        <v>14.14</v>
      </c>
    </row>
    <row r="82" spans="1:14" x14ac:dyDescent="0.25">
      <c r="A82" s="9"/>
      <c r="B82" s="9"/>
      <c r="C82" s="9"/>
      <c r="D82" s="9"/>
      <c r="K82">
        <f>262096.11-144509.32-15884.52-157.02-15913.34-26880.81</f>
        <v>58751.099999999977</v>
      </c>
      <c r="L82">
        <f>201670.73-110755.31-12362.88-120.96-12257.22-20921.31</f>
        <v>45253.05</v>
      </c>
      <c r="M82">
        <f>M81*N81*6</f>
        <v>61780.488000000012</v>
      </c>
    </row>
    <row r="83" spans="1:14" x14ac:dyDescent="0.25">
      <c r="A83" s="9"/>
      <c r="B83" s="9"/>
      <c r="C83" s="9"/>
      <c r="D83" s="9"/>
    </row>
    <row r="84" spans="1:14" x14ac:dyDescent="0.25">
      <c r="A84" s="9"/>
      <c r="B84" s="9"/>
      <c r="C84" s="9"/>
      <c r="D84" s="9"/>
    </row>
    <row r="85" spans="1:14" x14ac:dyDescent="0.25">
      <c r="A85" s="9"/>
      <c r="B85" s="9"/>
      <c r="C85" s="9"/>
      <c r="D85" s="9"/>
    </row>
    <row r="86" spans="1:14" x14ac:dyDescent="0.25">
      <c r="A86" s="9"/>
      <c r="B86" s="9"/>
      <c r="C86" s="9"/>
      <c r="D86" s="9"/>
    </row>
    <row r="92" spans="1:14" x14ac:dyDescent="0.25">
      <c r="A92" t="s">
        <v>9</v>
      </c>
    </row>
    <row r="94" spans="1:14" x14ac:dyDescent="0.25">
      <c r="A94" t="s">
        <v>10</v>
      </c>
      <c r="B94" t="s">
        <v>11</v>
      </c>
    </row>
    <row r="102" spans="1:4" ht="15.75" x14ac:dyDescent="0.25">
      <c r="B102" s="4" t="s">
        <v>4</v>
      </c>
      <c r="C102" s="4"/>
    </row>
    <row r="103" spans="1:4" ht="15.75" x14ac:dyDescent="0.25">
      <c r="B103" s="4" t="s">
        <v>5</v>
      </c>
      <c r="C103" s="4"/>
    </row>
    <row r="104" spans="1:4" x14ac:dyDescent="0.25">
      <c r="A104" s="5" t="s">
        <v>25</v>
      </c>
      <c r="B104" s="5"/>
      <c r="C104" s="5"/>
      <c r="D104" s="5"/>
    </row>
    <row r="105" spans="1:4" x14ac:dyDescent="0.25">
      <c r="A105" s="5"/>
      <c r="B105" s="5" t="s">
        <v>6</v>
      </c>
      <c r="C105" s="5"/>
      <c r="D105" s="5"/>
    </row>
    <row r="106" spans="1:4" x14ac:dyDescent="0.25">
      <c r="A106" s="8" t="s">
        <v>41</v>
      </c>
      <c r="B106" s="8" t="s">
        <v>7</v>
      </c>
      <c r="C106" s="6">
        <v>4</v>
      </c>
    </row>
    <row r="109" spans="1:4" ht="30" x14ac:dyDescent="0.25">
      <c r="A109" s="1" t="s">
        <v>0</v>
      </c>
      <c r="B109" s="2" t="s">
        <v>1</v>
      </c>
      <c r="C109" s="2" t="s">
        <v>2</v>
      </c>
      <c r="D109" s="2" t="s">
        <v>3</v>
      </c>
    </row>
    <row r="110" spans="1:4" x14ac:dyDescent="0.25">
      <c r="A110" s="3" t="s">
        <v>26</v>
      </c>
      <c r="B110" s="1">
        <f>K82</f>
        <v>58751.099999999977</v>
      </c>
      <c r="C110" s="1">
        <f>L82</f>
        <v>45253.05</v>
      </c>
      <c r="D110" s="10">
        <f>M82</f>
        <v>61780.488000000012</v>
      </c>
    </row>
    <row r="111" spans="1:4" x14ac:dyDescent="0.25">
      <c r="A111" s="14" t="s">
        <v>12</v>
      </c>
      <c r="B111" s="15"/>
      <c r="C111" s="16"/>
      <c r="D111" s="10">
        <f>B110-D110</f>
        <v>-3029.3880000000354</v>
      </c>
    </row>
    <row r="113" spans="1:14" x14ac:dyDescent="0.25">
      <c r="A113" s="5" t="s">
        <v>27</v>
      </c>
    </row>
    <row r="115" spans="1:14" x14ac:dyDescent="0.25">
      <c r="A115" s="9" t="s">
        <v>28</v>
      </c>
    </row>
    <row r="116" spans="1:14" x14ac:dyDescent="0.25">
      <c r="A116" s="9" t="s">
        <v>29</v>
      </c>
      <c r="B116" s="9"/>
      <c r="C116" s="9"/>
      <c r="D116" s="9"/>
    </row>
    <row r="117" spans="1:14" x14ac:dyDescent="0.25">
      <c r="A117" s="9" t="s">
        <v>30</v>
      </c>
      <c r="B117" s="9"/>
      <c r="C117" s="9"/>
      <c r="D117" s="9"/>
      <c r="M117">
        <v>722.7</v>
      </c>
      <c r="N117">
        <v>14.14</v>
      </c>
    </row>
    <row r="118" spans="1:14" x14ac:dyDescent="0.25">
      <c r="A118" s="9" t="s">
        <v>31</v>
      </c>
      <c r="B118" s="9"/>
      <c r="C118" s="9"/>
      <c r="D118" s="9"/>
      <c r="K118">
        <f>278468.55-159962.58-15014.95-159.36-16607.64-25409.48</f>
        <v>61314.540000000008</v>
      </c>
      <c r="L118">
        <f>197672.4-112514.6-11230.95-112.1-11681.5-19006</f>
        <v>43127.249999999985</v>
      </c>
      <c r="M118">
        <f>M117*N117*6</f>
        <v>61313.868000000002</v>
      </c>
    </row>
    <row r="119" spans="1:14" x14ac:dyDescent="0.25">
      <c r="A119" s="9" t="s">
        <v>32</v>
      </c>
      <c r="B119" s="9"/>
      <c r="C119" s="9"/>
      <c r="D119" s="9"/>
    </row>
    <row r="120" spans="1:14" x14ac:dyDescent="0.25">
      <c r="A120" s="9" t="s">
        <v>33</v>
      </c>
      <c r="B120" s="9"/>
      <c r="C120" s="9"/>
      <c r="D120" s="9"/>
    </row>
    <row r="121" spans="1:14" x14ac:dyDescent="0.25">
      <c r="A121" s="9" t="s">
        <v>34</v>
      </c>
      <c r="B121" s="9"/>
      <c r="C121" s="9"/>
      <c r="D121" s="9"/>
    </row>
    <row r="122" spans="1:14" x14ac:dyDescent="0.25">
      <c r="A122" s="9" t="s">
        <v>35</v>
      </c>
      <c r="B122" s="9"/>
      <c r="C122" s="9"/>
      <c r="D122" s="9"/>
    </row>
    <row r="123" spans="1:14" x14ac:dyDescent="0.25">
      <c r="A123" s="9" t="s">
        <v>36</v>
      </c>
      <c r="B123" s="9"/>
      <c r="C123" s="9"/>
      <c r="D123" s="9"/>
    </row>
    <row r="124" spans="1:14" x14ac:dyDescent="0.25">
      <c r="A124" s="9" t="s">
        <v>37</v>
      </c>
      <c r="B124" s="9"/>
      <c r="C124" s="9"/>
      <c r="D124" s="9"/>
    </row>
    <row r="125" spans="1:14" x14ac:dyDescent="0.25">
      <c r="A125" s="9" t="s">
        <v>38</v>
      </c>
      <c r="B125" s="9"/>
      <c r="C125" s="9"/>
      <c r="D125" s="9"/>
    </row>
    <row r="126" spans="1:14" x14ac:dyDescent="0.25">
      <c r="A126" s="9" t="s">
        <v>40</v>
      </c>
      <c r="B126" s="9"/>
      <c r="C126" s="9"/>
      <c r="D126" s="9"/>
    </row>
    <row r="127" spans="1:14" x14ac:dyDescent="0.25">
      <c r="A127" s="9" t="s">
        <v>39</v>
      </c>
      <c r="B127" s="9"/>
      <c r="C127" s="9"/>
      <c r="D127" s="9"/>
    </row>
    <row r="128" spans="1:14" x14ac:dyDescent="0.25">
      <c r="A128" s="9"/>
      <c r="B128" s="9"/>
      <c r="C128" s="9"/>
      <c r="D128" s="9"/>
    </row>
    <row r="129" spans="1:4" x14ac:dyDescent="0.25">
      <c r="A129" s="9"/>
      <c r="B129" s="9"/>
      <c r="C129" s="9"/>
      <c r="D129" s="9"/>
    </row>
    <row r="130" spans="1:4" x14ac:dyDescent="0.25">
      <c r="A130" s="9"/>
      <c r="B130" s="9"/>
      <c r="C130" s="9"/>
      <c r="D130" s="9"/>
    </row>
    <row r="131" spans="1:4" x14ac:dyDescent="0.25">
      <c r="A131" s="9"/>
      <c r="B131" s="9"/>
      <c r="C131" s="9"/>
      <c r="D131" s="9"/>
    </row>
    <row r="132" spans="1:4" x14ac:dyDescent="0.25">
      <c r="A132" s="9"/>
      <c r="B132" s="9"/>
      <c r="C132" s="9"/>
      <c r="D132" s="9"/>
    </row>
    <row r="133" spans="1:4" x14ac:dyDescent="0.25">
      <c r="A133" s="9"/>
      <c r="B133" s="9"/>
      <c r="C133" s="9"/>
      <c r="D133" s="9"/>
    </row>
    <row r="134" spans="1:4" x14ac:dyDescent="0.25">
      <c r="A134" s="9"/>
      <c r="B134" s="9"/>
      <c r="C134" s="9"/>
      <c r="D134" s="9"/>
    </row>
    <row r="135" spans="1:4" x14ac:dyDescent="0.25">
      <c r="A135" s="9"/>
      <c r="B135" s="9"/>
      <c r="C135" s="9"/>
      <c r="D135" s="9"/>
    </row>
    <row r="141" spans="1:4" x14ac:dyDescent="0.25">
      <c r="A141" t="s">
        <v>9</v>
      </c>
    </row>
    <row r="143" spans="1:4" x14ac:dyDescent="0.25">
      <c r="A143" t="s">
        <v>10</v>
      </c>
      <c r="B143" t="s">
        <v>11</v>
      </c>
    </row>
    <row r="151" spans="1:14" ht="15.75" x14ac:dyDescent="0.25">
      <c r="B151" s="4" t="s">
        <v>4</v>
      </c>
      <c r="C151" s="4"/>
    </row>
    <row r="152" spans="1:14" ht="15.75" x14ac:dyDescent="0.25">
      <c r="B152" s="4" t="s">
        <v>5</v>
      </c>
      <c r="C152" s="4"/>
    </row>
    <row r="153" spans="1:14" x14ac:dyDescent="0.25">
      <c r="A153" s="5" t="s">
        <v>25</v>
      </c>
      <c r="B153" s="5"/>
      <c r="C153" s="5"/>
      <c r="D153" s="5"/>
      <c r="M153">
        <v>727.3</v>
      </c>
      <c r="N153">
        <v>14.19</v>
      </c>
    </row>
    <row r="154" spans="1:14" x14ac:dyDescent="0.25">
      <c r="A154" s="5"/>
      <c r="B154" s="5" t="s">
        <v>6</v>
      </c>
      <c r="C154" s="5"/>
      <c r="D154" s="5"/>
      <c r="K154">
        <f>281073.71-160980.6-15437.2-157.02-16451.52-26123.95</f>
        <v>61923.420000000013</v>
      </c>
      <c r="L154">
        <f>203483.3-118752.82-9953.82-115.82-12136.04-16844.83</f>
        <v>45679.969999999965</v>
      </c>
      <c r="M154">
        <f>M153*N153*6</f>
        <v>61922.321999999993</v>
      </c>
    </row>
    <row r="155" spans="1:14" x14ac:dyDescent="0.25">
      <c r="A155" s="8" t="s">
        <v>41</v>
      </c>
      <c r="B155" s="8" t="s">
        <v>7</v>
      </c>
      <c r="C155" s="6">
        <v>5</v>
      </c>
    </row>
    <row r="158" spans="1:14" ht="30" x14ac:dyDescent="0.25">
      <c r="A158" s="1" t="s">
        <v>0</v>
      </c>
      <c r="B158" s="2" t="s">
        <v>1</v>
      </c>
      <c r="C158" s="2" t="s">
        <v>2</v>
      </c>
      <c r="D158" s="2" t="s">
        <v>3</v>
      </c>
    </row>
    <row r="159" spans="1:14" x14ac:dyDescent="0.25">
      <c r="A159" s="3" t="s">
        <v>26</v>
      </c>
      <c r="B159" s="1">
        <f>K118</f>
        <v>61314.540000000008</v>
      </c>
      <c r="C159" s="1">
        <f>L118</f>
        <v>43127.249999999985</v>
      </c>
      <c r="D159" s="10">
        <f>M118</f>
        <v>61313.868000000002</v>
      </c>
    </row>
    <row r="160" spans="1:14" x14ac:dyDescent="0.25">
      <c r="A160" s="14" t="s">
        <v>8</v>
      </c>
      <c r="B160" s="15"/>
      <c r="C160" s="16"/>
      <c r="D160" s="10">
        <f>B159-D159</f>
        <v>0.67200000000593718</v>
      </c>
    </row>
    <row r="162" spans="1:4" x14ac:dyDescent="0.25">
      <c r="A162" s="5" t="s">
        <v>27</v>
      </c>
    </row>
    <row r="164" spans="1:4" x14ac:dyDescent="0.25">
      <c r="A164" s="9" t="s">
        <v>28</v>
      </c>
    </row>
    <row r="165" spans="1:4" x14ac:dyDescent="0.25">
      <c r="A165" s="9" t="s">
        <v>29</v>
      </c>
      <c r="B165" s="9"/>
      <c r="C165" s="9"/>
      <c r="D165" s="9"/>
    </row>
    <row r="166" spans="1:4" x14ac:dyDescent="0.25">
      <c r="A166" s="9" t="s">
        <v>30</v>
      </c>
      <c r="B166" s="9"/>
      <c r="C166" s="9"/>
      <c r="D166" s="9"/>
    </row>
    <row r="167" spans="1:4" x14ac:dyDescent="0.25">
      <c r="A167" s="9" t="s">
        <v>31</v>
      </c>
      <c r="B167" s="9"/>
      <c r="C167" s="9"/>
      <c r="D167" s="9"/>
    </row>
    <row r="168" spans="1:4" x14ac:dyDescent="0.25">
      <c r="A168" s="9" t="s">
        <v>32</v>
      </c>
      <c r="B168" s="9"/>
      <c r="C168" s="9"/>
      <c r="D168" s="9"/>
    </row>
    <row r="169" spans="1:4" x14ac:dyDescent="0.25">
      <c r="A169" s="9" t="s">
        <v>33</v>
      </c>
      <c r="B169" s="9"/>
      <c r="C169" s="9"/>
      <c r="D169" s="9"/>
    </row>
    <row r="170" spans="1:4" x14ac:dyDescent="0.25">
      <c r="A170" s="9" t="s">
        <v>34</v>
      </c>
      <c r="B170" s="9"/>
      <c r="C170" s="9"/>
      <c r="D170" s="9"/>
    </row>
    <row r="171" spans="1:4" x14ac:dyDescent="0.25">
      <c r="A171" s="9" t="s">
        <v>35</v>
      </c>
      <c r="B171" s="9"/>
      <c r="C171" s="9"/>
      <c r="D171" s="9"/>
    </row>
    <row r="172" spans="1:4" x14ac:dyDescent="0.25">
      <c r="A172" s="9" t="s">
        <v>36</v>
      </c>
      <c r="B172" s="9"/>
      <c r="C172" s="9"/>
      <c r="D172" s="9"/>
    </row>
    <row r="173" spans="1:4" x14ac:dyDescent="0.25">
      <c r="A173" s="9" t="s">
        <v>37</v>
      </c>
      <c r="B173" s="9"/>
      <c r="C173" s="9"/>
      <c r="D173" s="9"/>
    </row>
    <row r="174" spans="1:4" x14ac:dyDescent="0.25">
      <c r="A174" s="9" t="s">
        <v>38</v>
      </c>
      <c r="B174" s="9"/>
      <c r="C174" s="9"/>
      <c r="D174" s="9"/>
    </row>
    <row r="175" spans="1:4" x14ac:dyDescent="0.25">
      <c r="A175" s="9" t="s">
        <v>40</v>
      </c>
      <c r="B175" s="9"/>
      <c r="C175" s="9"/>
      <c r="D175" s="9"/>
    </row>
    <row r="176" spans="1:4" x14ac:dyDescent="0.25">
      <c r="A176" s="9" t="s">
        <v>39</v>
      </c>
      <c r="B176" s="9"/>
      <c r="C176" s="9"/>
      <c r="D176" s="9"/>
    </row>
    <row r="177" spans="1:14" x14ac:dyDescent="0.25">
      <c r="A177" s="9"/>
      <c r="B177" s="9"/>
      <c r="C177" s="9"/>
      <c r="D177" s="9"/>
    </row>
    <row r="178" spans="1:14" x14ac:dyDescent="0.25">
      <c r="A178" s="9"/>
      <c r="B178" s="9"/>
      <c r="C178" s="9"/>
      <c r="D178" s="9"/>
    </row>
    <row r="179" spans="1:14" x14ac:dyDescent="0.25">
      <c r="A179" s="9"/>
      <c r="B179" s="9"/>
      <c r="C179" s="9"/>
      <c r="D179" s="9"/>
    </row>
    <row r="180" spans="1:14" x14ac:dyDescent="0.25">
      <c r="A180" s="9"/>
      <c r="B180" s="9"/>
      <c r="C180" s="9"/>
      <c r="D180" s="9"/>
    </row>
    <row r="181" spans="1:14" x14ac:dyDescent="0.25">
      <c r="A181" s="9"/>
      <c r="B181" s="9"/>
      <c r="C181" s="9"/>
      <c r="D181" s="9"/>
    </row>
    <row r="182" spans="1:14" x14ac:dyDescent="0.25">
      <c r="A182" s="9"/>
      <c r="B182" s="9"/>
      <c r="C182" s="9"/>
      <c r="D182" s="9"/>
    </row>
    <row r="183" spans="1:14" x14ac:dyDescent="0.25">
      <c r="A183" s="9"/>
      <c r="B183" s="9"/>
      <c r="C183" s="9"/>
      <c r="D183" s="9"/>
    </row>
    <row r="184" spans="1:14" x14ac:dyDescent="0.25">
      <c r="A184" s="9"/>
      <c r="B184" s="9"/>
      <c r="C184" s="9"/>
      <c r="D184" s="9"/>
    </row>
    <row r="188" spans="1:14" x14ac:dyDescent="0.25">
      <c r="M188">
        <v>679.3</v>
      </c>
      <c r="N188">
        <v>14.19</v>
      </c>
    </row>
    <row r="189" spans="1:14" x14ac:dyDescent="0.25">
      <c r="K189">
        <f>241576.74-130568.58-13981.67-163.26-15365.88-23660.83</f>
        <v>57836.51999999999</v>
      </c>
      <c r="L189">
        <f>147108.44-80586.29-7114.53-105.41-9920.84-12039.73</f>
        <v>37341.640000000014</v>
      </c>
      <c r="M189">
        <f>M188*N188*6</f>
        <v>57835.601999999999</v>
      </c>
    </row>
    <row r="190" spans="1:14" x14ac:dyDescent="0.25">
      <c r="A190" t="s">
        <v>9</v>
      </c>
    </row>
    <row r="192" spans="1:14" x14ac:dyDescent="0.25">
      <c r="A192" t="s">
        <v>10</v>
      </c>
      <c r="B192" t="s">
        <v>11</v>
      </c>
    </row>
    <row r="200" spans="1:4" ht="15.75" x14ac:dyDescent="0.25">
      <c r="B200" s="4" t="s">
        <v>4</v>
      </c>
      <c r="C200" s="4"/>
    </row>
    <row r="201" spans="1:4" ht="15.75" x14ac:dyDescent="0.25">
      <c r="B201" s="4" t="s">
        <v>5</v>
      </c>
      <c r="C201" s="4"/>
    </row>
    <row r="202" spans="1:4" x14ac:dyDescent="0.25">
      <c r="A202" s="5" t="s">
        <v>25</v>
      </c>
      <c r="B202" s="5"/>
      <c r="C202" s="5"/>
      <c r="D202" s="5"/>
    </row>
    <row r="203" spans="1:4" x14ac:dyDescent="0.25">
      <c r="A203" s="5"/>
      <c r="B203" s="5" t="s">
        <v>6</v>
      </c>
      <c r="C203" s="5"/>
      <c r="D203" s="5"/>
    </row>
    <row r="204" spans="1:4" x14ac:dyDescent="0.25">
      <c r="A204" s="8" t="s">
        <v>41</v>
      </c>
      <c r="B204" s="8" t="s">
        <v>7</v>
      </c>
      <c r="C204" s="6">
        <v>7</v>
      </c>
    </row>
    <row r="207" spans="1:4" ht="30" x14ac:dyDescent="0.25">
      <c r="A207" s="1" t="s">
        <v>0</v>
      </c>
      <c r="B207" s="2" t="s">
        <v>1</v>
      </c>
      <c r="C207" s="2" t="s">
        <v>2</v>
      </c>
      <c r="D207" s="2" t="s">
        <v>3</v>
      </c>
    </row>
    <row r="208" spans="1:4" x14ac:dyDescent="0.25">
      <c r="A208" s="3" t="s">
        <v>26</v>
      </c>
      <c r="B208" s="1">
        <f>K154</f>
        <v>61923.420000000013</v>
      </c>
      <c r="C208" s="1">
        <f>L154</f>
        <v>45679.969999999965</v>
      </c>
      <c r="D208" s="10">
        <f>M154</f>
        <v>61922.321999999993</v>
      </c>
    </row>
    <row r="209" spans="1:14" x14ac:dyDescent="0.25">
      <c r="A209" s="14" t="s">
        <v>8</v>
      </c>
      <c r="B209" s="15"/>
      <c r="C209" s="16"/>
      <c r="D209" s="10">
        <f>B208-D208</f>
        <v>1.0980000000199652</v>
      </c>
    </row>
    <row r="211" spans="1:14" x14ac:dyDescent="0.25">
      <c r="A211" s="5" t="s">
        <v>27</v>
      </c>
    </row>
    <row r="213" spans="1:14" x14ac:dyDescent="0.25">
      <c r="A213" s="9" t="s">
        <v>28</v>
      </c>
    </row>
    <row r="214" spans="1:14" x14ac:dyDescent="0.25">
      <c r="A214" s="9" t="s">
        <v>29</v>
      </c>
      <c r="B214" s="9"/>
      <c r="C214" s="9"/>
      <c r="D214" s="9"/>
    </row>
    <row r="215" spans="1:14" x14ac:dyDescent="0.25">
      <c r="A215" s="9" t="s">
        <v>30</v>
      </c>
      <c r="B215" s="9"/>
      <c r="C215" s="9"/>
      <c r="D215" s="9"/>
    </row>
    <row r="216" spans="1:14" x14ac:dyDescent="0.25">
      <c r="A216" s="9" t="s">
        <v>31</v>
      </c>
      <c r="B216" s="9"/>
      <c r="C216" s="9"/>
      <c r="D216" s="9"/>
    </row>
    <row r="217" spans="1:14" x14ac:dyDescent="0.25">
      <c r="A217" s="9" t="s">
        <v>32</v>
      </c>
      <c r="B217" s="9"/>
      <c r="C217" s="9"/>
      <c r="D217" s="9"/>
    </row>
    <row r="218" spans="1:14" x14ac:dyDescent="0.25">
      <c r="A218" s="9" t="s">
        <v>33</v>
      </c>
      <c r="B218" s="9"/>
      <c r="C218" s="9"/>
      <c r="D218" s="9"/>
    </row>
    <row r="219" spans="1:14" x14ac:dyDescent="0.25">
      <c r="A219" s="9" t="s">
        <v>34</v>
      </c>
      <c r="B219" s="9"/>
      <c r="C219" s="9"/>
      <c r="D219" s="9"/>
    </row>
    <row r="220" spans="1:14" x14ac:dyDescent="0.25">
      <c r="A220" s="9" t="s">
        <v>35</v>
      </c>
      <c r="B220" s="9"/>
      <c r="C220" s="9"/>
      <c r="D220" s="9"/>
    </row>
    <row r="221" spans="1:14" x14ac:dyDescent="0.25">
      <c r="A221" s="9" t="s">
        <v>36</v>
      </c>
      <c r="B221" s="9"/>
      <c r="C221" s="9"/>
      <c r="D221" s="9"/>
    </row>
    <row r="222" spans="1:14" x14ac:dyDescent="0.25">
      <c r="A222" s="9" t="s">
        <v>37</v>
      </c>
      <c r="B222" s="9"/>
      <c r="C222" s="9"/>
      <c r="D222" s="9"/>
    </row>
    <row r="223" spans="1:14" x14ac:dyDescent="0.25">
      <c r="A223" s="9" t="s">
        <v>38</v>
      </c>
      <c r="B223" s="9"/>
      <c r="C223" s="9"/>
      <c r="D223" s="9"/>
    </row>
    <row r="224" spans="1:14" x14ac:dyDescent="0.25">
      <c r="A224" s="9" t="s">
        <v>40</v>
      </c>
      <c r="B224" s="9"/>
      <c r="C224" s="9"/>
      <c r="D224" s="9"/>
      <c r="M224">
        <v>728.7</v>
      </c>
      <c r="N224">
        <v>14.14</v>
      </c>
    </row>
    <row r="225" spans="1:13" x14ac:dyDescent="0.25">
      <c r="A225" s="9" t="s">
        <v>39</v>
      </c>
      <c r="B225" s="9"/>
      <c r="C225" s="9"/>
      <c r="D225" s="9"/>
      <c r="K225">
        <f>286190.62-161290.44-17148.01-163.98-16745.52-29019.45</f>
        <v>61823.22</v>
      </c>
      <c r="L225">
        <f>237688.59-134304.54-14049.07-136.54-13943.79-23775.22</f>
        <v>51479.429999999993</v>
      </c>
      <c r="M225">
        <f>M224*N224*6</f>
        <v>61822.90800000001</v>
      </c>
    </row>
    <row r="226" spans="1:13" x14ac:dyDescent="0.25">
      <c r="A226" s="9"/>
      <c r="B226" s="9"/>
      <c r="C226" s="9"/>
      <c r="D226" s="9"/>
    </row>
    <row r="227" spans="1:13" x14ac:dyDescent="0.25">
      <c r="A227" s="9"/>
      <c r="B227" s="9"/>
      <c r="C227" s="9"/>
      <c r="D227" s="9"/>
    </row>
    <row r="228" spans="1:13" x14ac:dyDescent="0.25">
      <c r="A228" s="9"/>
      <c r="B228" s="9"/>
      <c r="C228" s="9"/>
      <c r="D228" s="9"/>
    </row>
    <row r="229" spans="1:13" x14ac:dyDescent="0.25">
      <c r="A229" s="9"/>
      <c r="B229" s="9"/>
      <c r="C229" s="9"/>
      <c r="D229" s="9"/>
    </row>
    <row r="230" spans="1:13" x14ac:dyDescent="0.25">
      <c r="A230" s="9"/>
      <c r="B230" s="9"/>
      <c r="C230" s="9"/>
      <c r="D230" s="9"/>
    </row>
    <row r="231" spans="1:13" x14ac:dyDescent="0.25">
      <c r="A231" s="9"/>
      <c r="B231" s="9"/>
      <c r="C231" s="9"/>
      <c r="D231" s="9"/>
    </row>
    <row r="232" spans="1:13" x14ac:dyDescent="0.25">
      <c r="A232" s="9"/>
      <c r="B232" s="9"/>
      <c r="C232" s="9"/>
      <c r="D232" s="9"/>
    </row>
    <row r="233" spans="1:13" x14ac:dyDescent="0.25">
      <c r="A233" s="9"/>
      <c r="B233" s="9"/>
      <c r="C233" s="9"/>
      <c r="D233" s="9"/>
    </row>
    <row r="239" spans="1:13" x14ac:dyDescent="0.25">
      <c r="A239" t="s">
        <v>9</v>
      </c>
    </row>
    <row r="241" spans="1:4" x14ac:dyDescent="0.25">
      <c r="A241" t="s">
        <v>10</v>
      </c>
      <c r="B241" t="s">
        <v>11</v>
      </c>
    </row>
    <row r="249" spans="1:4" ht="15.75" x14ac:dyDescent="0.25">
      <c r="B249" s="4" t="s">
        <v>4</v>
      </c>
      <c r="C249" s="4"/>
    </row>
    <row r="250" spans="1:4" ht="15.75" x14ac:dyDescent="0.25">
      <c r="B250" s="4" t="s">
        <v>5</v>
      </c>
      <c r="C250" s="4"/>
    </row>
    <row r="251" spans="1:4" x14ac:dyDescent="0.25">
      <c r="A251" s="5" t="s">
        <v>25</v>
      </c>
      <c r="B251" s="5"/>
      <c r="C251" s="5"/>
      <c r="D251" s="5"/>
    </row>
    <row r="252" spans="1:4" x14ac:dyDescent="0.25">
      <c r="A252" s="5"/>
      <c r="B252" s="5" t="s">
        <v>6</v>
      </c>
      <c r="C252" s="5"/>
      <c r="D252" s="5"/>
    </row>
    <row r="253" spans="1:4" x14ac:dyDescent="0.25">
      <c r="A253" s="8" t="s">
        <v>41</v>
      </c>
      <c r="B253" s="8" t="s">
        <v>7</v>
      </c>
      <c r="C253" s="6">
        <v>9</v>
      </c>
    </row>
    <row r="256" spans="1:4" ht="30" x14ac:dyDescent="0.25">
      <c r="A256" s="1" t="s">
        <v>0</v>
      </c>
      <c r="B256" s="2" t="s">
        <v>1</v>
      </c>
      <c r="C256" s="2" t="s">
        <v>2</v>
      </c>
      <c r="D256" s="2" t="s">
        <v>3</v>
      </c>
    </row>
    <row r="257" spans="1:14" x14ac:dyDescent="0.25">
      <c r="A257" s="3" t="s">
        <v>26</v>
      </c>
      <c r="B257" s="1">
        <f>K189</f>
        <v>57836.51999999999</v>
      </c>
      <c r="C257" s="1">
        <f>L189</f>
        <v>37341.640000000014</v>
      </c>
      <c r="D257" s="10">
        <f>M189</f>
        <v>57835.601999999999</v>
      </c>
    </row>
    <row r="258" spans="1:14" x14ac:dyDescent="0.25">
      <c r="A258" s="14" t="s">
        <v>8</v>
      </c>
      <c r="B258" s="15"/>
      <c r="C258" s="16"/>
      <c r="D258" s="10">
        <f>B257-D257</f>
        <v>0.91799999999057036</v>
      </c>
    </row>
    <row r="260" spans="1:14" x14ac:dyDescent="0.25">
      <c r="A260" s="5" t="s">
        <v>27</v>
      </c>
    </row>
    <row r="261" spans="1:14" x14ac:dyDescent="0.25">
      <c r="M261">
        <v>720.8</v>
      </c>
      <c r="N261">
        <v>14.19</v>
      </c>
    </row>
    <row r="262" spans="1:14" x14ac:dyDescent="0.25">
      <c r="A262" s="9" t="s">
        <v>28</v>
      </c>
      <c r="K262">
        <f>277123.14-159541.92-14762.29-162.72-16304.52-24981.65</f>
        <v>61370.039999999986</v>
      </c>
      <c r="L262">
        <f>224188.8-128576.91-12213.42-131.13-13140.02-20668.37</f>
        <v>49458.949999999983</v>
      </c>
      <c r="M262">
        <f>M261*N261*6</f>
        <v>61368.911999999989</v>
      </c>
    </row>
    <row r="263" spans="1:14" x14ac:dyDescent="0.25">
      <c r="A263" s="9" t="s">
        <v>29</v>
      </c>
      <c r="B263" s="9"/>
      <c r="C263" s="9"/>
      <c r="D263" s="9"/>
    </row>
    <row r="264" spans="1:14" x14ac:dyDescent="0.25">
      <c r="A264" s="9" t="s">
        <v>30</v>
      </c>
      <c r="B264" s="9"/>
      <c r="C264" s="9"/>
      <c r="D264" s="9"/>
    </row>
    <row r="265" spans="1:14" x14ac:dyDescent="0.25">
      <c r="A265" s="9" t="s">
        <v>31</v>
      </c>
      <c r="B265" s="9"/>
      <c r="C265" s="9"/>
      <c r="D265" s="9"/>
    </row>
    <row r="266" spans="1:14" x14ac:dyDescent="0.25">
      <c r="A266" s="9" t="s">
        <v>32</v>
      </c>
      <c r="B266" s="9"/>
      <c r="C266" s="9"/>
      <c r="D266" s="9"/>
    </row>
    <row r="267" spans="1:14" x14ac:dyDescent="0.25">
      <c r="A267" s="9" t="s">
        <v>33</v>
      </c>
      <c r="B267" s="9"/>
      <c r="C267" s="9"/>
      <c r="D267" s="9"/>
    </row>
    <row r="268" spans="1:14" x14ac:dyDescent="0.25">
      <c r="A268" s="9" t="s">
        <v>34</v>
      </c>
      <c r="B268" s="9"/>
      <c r="C268" s="9"/>
      <c r="D268" s="9"/>
    </row>
    <row r="269" spans="1:14" x14ac:dyDescent="0.25">
      <c r="A269" s="9" t="s">
        <v>35</v>
      </c>
      <c r="B269" s="9"/>
      <c r="C269" s="9"/>
      <c r="D269" s="9"/>
    </row>
    <row r="270" spans="1:14" x14ac:dyDescent="0.25">
      <c r="A270" s="9" t="s">
        <v>36</v>
      </c>
      <c r="B270" s="9"/>
      <c r="C270" s="9"/>
      <c r="D270" s="9"/>
    </row>
    <row r="271" spans="1:14" x14ac:dyDescent="0.25">
      <c r="A271" s="9" t="s">
        <v>37</v>
      </c>
      <c r="B271" s="9"/>
      <c r="C271" s="9"/>
      <c r="D271" s="9"/>
    </row>
    <row r="272" spans="1:14" x14ac:dyDescent="0.25">
      <c r="A272" s="9" t="s">
        <v>38</v>
      </c>
      <c r="B272" s="9"/>
      <c r="C272" s="9"/>
      <c r="D272" s="9"/>
    </row>
    <row r="273" spans="1:4" x14ac:dyDescent="0.25">
      <c r="A273" s="9" t="s">
        <v>40</v>
      </c>
      <c r="B273" s="9"/>
      <c r="C273" s="9"/>
      <c r="D273" s="9"/>
    </row>
    <row r="274" spans="1:4" x14ac:dyDescent="0.25">
      <c r="A274" s="9" t="s">
        <v>39</v>
      </c>
      <c r="B274" s="9"/>
      <c r="C274" s="9"/>
      <c r="D274" s="9"/>
    </row>
    <row r="275" spans="1:4" x14ac:dyDescent="0.25">
      <c r="A275" s="9"/>
      <c r="B275" s="9"/>
      <c r="C275" s="9"/>
      <c r="D275" s="9"/>
    </row>
    <row r="276" spans="1:4" x14ac:dyDescent="0.25">
      <c r="A276" s="9"/>
      <c r="B276" s="9"/>
      <c r="C276" s="9"/>
      <c r="D276" s="9"/>
    </row>
    <row r="277" spans="1:4" x14ac:dyDescent="0.25">
      <c r="A277" s="9"/>
      <c r="B277" s="9"/>
      <c r="C277" s="9"/>
      <c r="D277" s="9"/>
    </row>
    <row r="278" spans="1:4" x14ac:dyDescent="0.25">
      <c r="A278" s="9"/>
      <c r="B278" s="9"/>
      <c r="C278" s="9"/>
      <c r="D278" s="9"/>
    </row>
    <row r="279" spans="1:4" x14ac:dyDescent="0.25">
      <c r="A279" s="9"/>
      <c r="B279" s="9"/>
      <c r="C279" s="9"/>
      <c r="D279" s="9"/>
    </row>
    <row r="280" spans="1:4" x14ac:dyDescent="0.25">
      <c r="A280" s="9"/>
      <c r="B280" s="9"/>
      <c r="C280" s="9"/>
      <c r="D280" s="9"/>
    </row>
    <row r="281" spans="1:4" x14ac:dyDescent="0.25">
      <c r="A281" s="9"/>
      <c r="B281" s="9"/>
      <c r="C281" s="9"/>
      <c r="D281" s="9"/>
    </row>
    <row r="282" spans="1:4" x14ac:dyDescent="0.25">
      <c r="A282" s="9"/>
      <c r="B282" s="9"/>
      <c r="C282" s="9"/>
      <c r="D282" s="9"/>
    </row>
    <row r="288" spans="1:4" x14ac:dyDescent="0.25">
      <c r="A288" t="s">
        <v>9</v>
      </c>
    </row>
    <row r="290" spans="1:14" x14ac:dyDescent="0.25">
      <c r="A290" t="s">
        <v>10</v>
      </c>
      <c r="B290" t="s">
        <v>11</v>
      </c>
    </row>
    <row r="297" spans="1:14" x14ac:dyDescent="0.25">
      <c r="M297">
        <v>838.5</v>
      </c>
      <c r="N297">
        <v>14.14</v>
      </c>
    </row>
    <row r="298" spans="1:14" ht="15.75" x14ac:dyDescent="0.25">
      <c r="B298" s="4" t="s">
        <v>4</v>
      </c>
      <c r="C298" s="4"/>
      <c r="K298">
        <f>313096.65-185505.12-13639.5-505.74-19259.58-23081.37</f>
        <v>71105.340000000026</v>
      </c>
      <c r="L298">
        <f>231927.14-137255.23-10190.99-374.24-14250.17-17245.73</f>
        <v>52610.78</v>
      </c>
      <c r="M298">
        <f>M297*N297*6</f>
        <v>71138.340000000011</v>
      </c>
    </row>
    <row r="299" spans="1:14" ht="15.75" x14ac:dyDescent="0.25">
      <c r="B299" s="4" t="s">
        <v>5</v>
      </c>
      <c r="C299" s="4"/>
    </row>
    <row r="300" spans="1:14" x14ac:dyDescent="0.25">
      <c r="A300" s="5" t="s">
        <v>25</v>
      </c>
      <c r="B300" s="5"/>
      <c r="C300" s="5"/>
      <c r="D300" s="5"/>
    </row>
    <row r="301" spans="1:14" x14ac:dyDescent="0.25">
      <c r="A301" s="5"/>
      <c r="B301" s="5" t="s">
        <v>6</v>
      </c>
      <c r="C301" s="5"/>
      <c r="D301" s="5"/>
    </row>
    <row r="302" spans="1:14" x14ac:dyDescent="0.25">
      <c r="A302" s="8" t="s">
        <v>41</v>
      </c>
      <c r="B302" s="8" t="s">
        <v>7</v>
      </c>
      <c r="C302" s="6">
        <v>10</v>
      </c>
    </row>
    <row r="305" spans="1:4" ht="30" x14ac:dyDescent="0.25">
      <c r="A305" s="1" t="s">
        <v>0</v>
      </c>
      <c r="B305" s="2" t="s">
        <v>1</v>
      </c>
      <c r="C305" s="2" t="s">
        <v>2</v>
      </c>
      <c r="D305" s="2" t="s">
        <v>3</v>
      </c>
    </row>
    <row r="306" spans="1:4" x14ac:dyDescent="0.25">
      <c r="A306" s="3" t="s">
        <v>26</v>
      </c>
      <c r="B306" s="1">
        <f>K225</f>
        <v>61823.22</v>
      </c>
      <c r="C306" s="1">
        <f>L225</f>
        <v>51479.429999999993</v>
      </c>
      <c r="D306" s="10">
        <f>M225</f>
        <v>61822.90800000001</v>
      </c>
    </row>
    <row r="307" spans="1:4" x14ac:dyDescent="0.25">
      <c r="A307" s="14" t="s">
        <v>8</v>
      </c>
      <c r="B307" s="15"/>
      <c r="C307" s="16"/>
      <c r="D307" s="10">
        <f>B306-D306</f>
        <v>0.31199999999080319</v>
      </c>
    </row>
    <row r="309" spans="1:4" x14ac:dyDescent="0.25">
      <c r="A309" s="5" t="s">
        <v>27</v>
      </c>
    </row>
    <row r="311" spans="1:4" x14ac:dyDescent="0.25">
      <c r="A311" s="9" t="s">
        <v>28</v>
      </c>
    </row>
    <row r="312" spans="1:4" x14ac:dyDescent="0.25">
      <c r="A312" s="9" t="s">
        <v>29</v>
      </c>
      <c r="B312" s="9"/>
      <c r="C312" s="9"/>
      <c r="D312" s="9"/>
    </row>
    <row r="313" spans="1:4" x14ac:dyDescent="0.25">
      <c r="A313" s="9" t="s">
        <v>30</v>
      </c>
      <c r="B313" s="9"/>
      <c r="C313" s="9"/>
      <c r="D313" s="9"/>
    </row>
    <row r="314" spans="1:4" x14ac:dyDescent="0.25">
      <c r="A314" s="9" t="s">
        <v>31</v>
      </c>
      <c r="B314" s="9"/>
      <c r="C314" s="9"/>
      <c r="D314" s="9"/>
    </row>
    <row r="315" spans="1:4" x14ac:dyDescent="0.25">
      <c r="A315" s="9" t="s">
        <v>32</v>
      </c>
      <c r="B315" s="9"/>
      <c r="C315" s="9"/>
      <c r="D315" s="9"/>
    </row>
    <row r="316" spans="1:4" x14ac:dyDescent="0.25">
      <c r="A316" s="9" t="s">
        <v>33</v>
      </c>
      <c r="B316" s="9"/>
      <c r="C316" s="9"/>
      <c r="D316" s="9"/>
    </row>
    <row r="317" spans="1:4" x14ac:dyDescent="0.25">
      <c r="A317" s="9" t="s">
        <v>34</v>
      </c>
      <c r="B317" s="9"/>
      <c r="C317" s="9"/>
      <c r="D317" s="9"/>
    </row>
    <row r="318" spans="1:4" x14ac:dyDescent="0.25">
      <c r="A318" s="9" t="s">
        <v>35</v>
      </c>
      <c r="B318" s="9"/>
      <c r="C318" s="9"/>
      <c r="D318" s="9"/>
    </row>
    <row r="319" spans="1:4" x14ac:dyDescent="0.25">
      <c r="A319" s="9" t="s">
        <v>36</v>
      </c>
      <c r="B319" s="9"/>
      <c r="C319" s="9"/>
      <c r="D319" s="9"/>
    </row>
    <row r="320" spans="1:4" x14ac:dyDescent="0.25">
      <c r="A320" s="9" t="s">
        <v>37</v>
      </c>
      <c r="B320" s="9"/>
      <c r="C320" s="9"/>
      <c r="D320" s="9"/>
    </row>
    <row r="321" spans="1:14" x14ac:dyDescent="0.25">
      <c r="A321" s="9" t="s">
        <v>38</v>
      </c>
      <c r="B321" s="9"/>
      <c r="C321" s="9"/>
      <c r="D321" s="9"/>
    </row>
    <row r="322" spans="1:14" x14ac:dyDescent="0.25">
      <c r="A322" s="9" t="s">
        <v>40</v>
      </c>
      <c r="B322" s="9"/>
      <c r="C322" s="9"/>
      <c r="D322" s="9"/>
    </row>
    <row r="323" spans="1:14" x14ac:dyDescent="0.25">
      <c r="A323" s="9" t="s">
        <v>39</v>
      </c>
      <c r="B323" s="9"/>
      <c r="C323" s="9"/>
      <c r="D323" s="9"/>
    </row>
    <row r="324" spans="1:14" x14ac:dyDescent="0.25">
      <c r="A324" s="9"/>
      <c r="B324" s="9"/>
      <c r="C324" s="9"/>
      <c r="D324" s="9"/>
    </row>
    <row r="325" spans="1:14" x14ac:dyDescent="0.25">
      <c r="A325" s="9"/>
      <c r="B325" s="9"/>
      <c r="C325" s="9"/>
      <c r="D325" s="9"/>
    </row>
    <row r="326" spans="1:14" x14ac:dyDescent="0.25">
      <c r="A326" s="9"/>
      <c r="B326" s="9"/>
      <c r="C326" s="9"/>
      <c r="D326" s="9"/>
    </row>
    <row r="327" spans="1:14" x14ac:dyDescent="0.25">
      <c r="A327" s="9"/>
      <c r="B327" s="9"/>
      <c r="C327" s="9"/>
      <c r="D327" s="9"/>
    </row>
    <row r="328" spans="1:14" x14ac:dyDescent="0.25">
      <c r="A328" s="9"/>
      <c r="B328" s="9"/>
      <c r="C328" s="9"/>
      <c r="D328" s="9"/>
    </row>
    <row r="329" spans="1:14" x14ac:dyDescent="0.25">
      <c r="A329" s="9"/>
      <c r="B329" s="9"/>
      <c r="C329" s="9"/>
      <c r="D329" s="9"/>
    </row>
    <row r="330" spans="1:14" x14ac:dyDescent="0.25">
      <c r="A330" s="9"/>
      <c r="B330" s="9"/>
      <c r="C330" s="9"/>
      <c r="D330" s="9"/>
    </row>
    <row r="331" spans="1:14" x14ac:dyDescent="0.25">
      <c r="A331" s="9"/>
      <c r="B331" s="9"/>
      <c r="C331" s="9"/>
      <c r="D331" s="9"/>
    </row>
    <row r="333" spans="1:14" x14ac:dyDescent="0.25">
      <c r="M333">
        <v>937</v>
      </c>
      <c r="N333">
        <v>14.14</v>
      </c>
    </row>
    <row r="334" spans="1:14" x14ac:dyDescent="0.25">
      <c r="K334">
        <f>354215.42-207395.52-16925.67-223.02-21532.38-28642.85</f>
        <v>79495.979999999981</v>
      </c>
      <c r="L334">
        <f>239350.36-141031.05-10945.14-151.62-14642.19-18522.37</f>
        <v>54057.990000000005</v>
      </c>
      <c r="M334">
        <f>M333*N333*6</f>
        <v>79495.08</v>
      </c>
    </row>
    <row r="337" spans="1:4" x14ac:dyDescent="0.25">
      <c r="A337" t="s">
        <v>9</v>
      </c>
    </row>
    <row r="339" spans="1:4" x14ac:dyDescent="0.25">
      <c r="A339" t="s">
        <v>10</v>
      </c>
      <c r="B339" t="s">
        <v>11</v>
      </c>
    </row>
    <row r="347" spans="1:4" ht="15.75" x14ac:dyDescent="0.25">
      <c r="B347" s="4" t="s">
        <v>4</v>
      </c>
      <c r="C347" s="4"/>
    </row>
    <row r="348" spans="1:4" ht="15.75" x14ac:dyDescent="0.25">
      <c r="B348" s="4" t="s">
        <v>5</v>
      </c>
      <c r="C348" s="4"/>
    </row>
    <row r="349" spans="1:4" x14ac:dyDescent="0.25">
      <c r="A349" s="5" t="s">
        <v>25</v>
      </c>
      <c r="B349" s="5"/>
      <c r="C349" s="5"/>
      <c r="D349" s="5"/>
    </row>
    <row r="350" spans="1:4" x14ac:dyDescent="0.25">
      <c r="A350" s="5"/>
      <c r="B350" s="5" t="s">
        <v>6</v>
      </c>
      <c r="C350" s="5"/>
      <c r="D350" s="5"/>
    </row>
    <row r="351" spans="1:4" x14ac:dyDescent="0.25">
      <c r="A351" s="8" t="s">
        <v>41</v>
      </c>
      <c r="B351" s="8" t="s">
        <v>7</v>
      </c>
      <c r="C351" s="6">
        <v>11</v>
      </c>
    </row>
    <row r="354" spans="1:4" ht="30" x14ac:dyDescent="0.25">
      <c r="A354" s="1" t="s">
        <v>0</v>
      </c>
      <c r="B354" s="2" t="s">
        <v>1</v>
      </c>
      <c r="C354" s="2" t="s">
        <v>2</v>
      </c>
      <c r="D354" s="2" t="s">
        <v>3</v>
      </c>
    </row>
    <row r="355" spans="1:4" x14ac:dyDescent="0.25">
      <c r="A355" s="3" t="s">
        <v>26</v>
      </c>
      <c r="B355" s="1">
        <f>K262</f>
        <v>61370.039999999986</v>
      </c>
      <c r="C355" s="1">
        <f>L262</f>
        <v>49458.949999999983</v>
      </c>
      <c r="D355" s="10">
        <f>M262</f>
        <v>61368.911999999989</v>
      </c>
    </row>
    <row r="356" spans="1:4" x14ac:dyDescent="0.25">
      <c r="A356" s="14" t="s">
        <v>8</v>
      </c>
      <c r="B356" s="15"/>
      <c r="C356" s="16"/>
      <c r="D356" s="10">
        <f>B355-D355</f>
        <v>1.1279999999969732</v>
      </c>
    </row>
    <row r="358" spans="1:4" x14ac:dyDescent="0.25">
      <c r="A358" s="5" t="s">
        <v>27</v>
      </c>
    </row>
    <row r="360" spans="1:4" x14ac:dyDescent="0.25">
      <c r="A360" s="9" t="s">
        <v>28</v>
      </c>
    </row>
    <row r="361" spans="1:4" x14ac:dyDescent="0.25">
      <c r="A361" s="9" t="s">
        <v>29</v>
      </c>
      <c r="B361" s="9"/>
      <c r="C361" s="9"/>
      <c r="D361" s="9"/>
    </row>
    <row r="362" spans="1:4" x14ac:dyDescent="0.25">
      <c r="A362" s="9" t="s">
        <v>30</v>
      </c>
      <c r="B362" s="9"/>
      <c r="C362" s="9"/>
      <c r="D362" s="9"/>
    </row>
    <row r="363" spans="1:4" x14ac:dyDescent="0.25">
      <c r="A363" s="9" t="s">
        <v>31</v>
      </c>
      <c r="B363" s="9"/>
      <c r="C363" s="9"/>
      <c r="D363" s="9"/>
    </row>
    <row r="364" spans="1:4" x14ac:dyDescent="0.25">
      <c r="A364" s="9" t="s">
        <v>32</v>
      </c>
      <c r="B364" s="9"/>
      <c r="C364" s="9"/>
      <c r="D364" s="9"/>
    </row>
    <row r="365" spans="1:4" x14ac:dyDescent="0.25">
      <c r="A365" s="9" t="s">
        <v>33</v>
      </c>
      <c r="B365" s="9"/>
      <c r="C365" s="9"/>
      <c r="D365" s="9"/>
    </row>
    <row r="366" spans="1:4" x14ac:dyDescent="0.25">
      <c r="A366" s="9" t="s">
        <v>34</v>
      </c>
      <c r="B366" s="9"/>
      <c r="C366" s="9"/>
      <c r="D366" s="9"/>
    </row>
    <row r="367" spans="1:4" x14ac:dyDescent="0.25">
      <c r="A367" s="9" t="s">
        <v>35</v>
      </c>
      <c r="B367" s="9"/>
      <c r="C367" s="9"/>
      <c r="D367" s="9"/>
    </row>
    <row r="368" spans="1:4" x14ac:dyDescent="0.25">
      <c r="A368" s="9" t="s">
        <v>36</v>
      </c>
      <c r="B368" s="9"/>
      <c r="C368" s="9"/>
      <c r="D368" s="9"/>
    </row>
    <row r="369" spans="1:14" x14ac:dyDescent="0.25">
      <c r="A369" s="9" t="s">
        <v>37</v>
      </c>
      <c r="B369" s="9"/>
      <c r="C369" s="9"/>
      <c r="D369" s="9"/>
      <c r="M369">
        <v>919.2</v>
      </c>
      <c r="N369">
        <v>14.14</v>
      </c>
    </row>
    <row r="370" spans="1:14" x14ac:dyDescent="0.25">
      <c r="A370" s="9" t="s">
        <v>38</v>
      </c>
      <c r="B370" s="9"/>
      <c r="C370" s="9"/>
      <c r="D370" s="9"/>
      <c r="K370">
        <f>364682.88-203455.74-22884.69-506.58-21123.3-38726.67</f>
        <v>77985.900000000023</v>
      </c>
      <c r="L370">
        <f>277129.44-154735.68-17320.86-385.27-16065.08-29311.33</f>
        <v>59311.22</v>
      </c>
      <c r="M370">
        <f>M369*N369*6</f>
        <v>77984.928000000014</v>
      </c>
    </row>
    <row r="371" spans="1:14" x14ac:dyDescent="0.25">
      <c r="A371" s="9" t="s">
        <v>40</v>
      </c>
      <c r="B371" s="9"/>
      <c r="C371" s="9"/>
      <c r="D371" s="9"/>
    </row>
    <row r="372" spans="1:14" x14ac:dyDescent="0.25">
      <c r="A372" s="9" t="s">
        <v>39</v>
      </c>
      <c r="B372" s="9"/>
      <c r="C372" s="9"/>
      <c r="D372" s="9"/>
    </row>
    <row r="373" spans="1:14" x14ac:dyDescent="0.25">
      <c r="A373" s="9"/>
      <c r="B373" s="9"/>
      <c r="C373" s="9"/>
      <c r="D373" s="9"/>
    </row>
    <row r="374" spans="1:14" x14ac:dyDescent="0.25">
      <c r="A374" s="9"/>
      <c r="B374" s="9"/>
      <c r="C374" s="9"/>
      <c r="D374" s="9"/>
    </row>
    <row r="375" spans="1:14" x14ac:dyDescent="0.25">
      <c r="A375" s="9"/>
      <c r="B375" s="9"/>
      <c r="C375" s="9"/>
      <c r="D375" s="9"/>
    </row>
    <row r="376" spans="1:14" x14ac:dyDescent="0.25">
      <c r="A376" s="9"/>
      <c r="B376" s="9"/>
      <c r="C376" s="9"/>
      <c r="D376" s="9"/>
    </row>
    <row r="377" spans="1:14" x14ac:dyDescent="0.25">
      <c r="A377" s="9"/>
      <c r="B377" s="9"/>
      <c r="C377" s="9"/>
      <c r="D377" s="9"/>
    </row>
    <row r="378" spans="1:14" x14ac:dyDescent="0.25">
      <c r="A378" s="9"/>
      <c r="B378" s="9"/>
      <c r="C378" s="9"/>
      <c r="D378" s="9"/>
    </row>
    <row r="379" spans="1:14" x14ac:dyDescent="0.25">
      <c r="A379" s="9"/>
      <c r="B379" s="9"/>
      <c r="C379" s="9"/>
      <c r="D379" s="9"/>
    </row>
    <row r="380" spans="1:14" x14ac:dyDescent="0.25">
      <c r="A380" s="9"/>
      <c r="B380" s="9"/>
      <c r="C380" s="9"/>
      <c r="D380" s="9"/>
    </row>
    <row r="386" spans="1:4" x14ac:dyDescent="0.25">
      <c r="A386" t="s">
        <v>9</v>
      </c>
    </row>
    <row r="388" spans="1:4" x14ac:dyDescent="0.25">
      <c r="A388" t="s">
        <v>10</v>
      </c>
      <c r="B388" t="s">
        <v>11</v>
      </c>
    </row>
    <row r="396" spans="1:4" ht="15.75" x14ac:dyDescent="0.25">
      <c r="B396" s="4" t="s">
        <v>4</v>
      </c>
      <c r="C396" s="4"/>
    </row>
    <row r="397" spans="1:4" ht="15.75" x14ac:dyDescent="0.25">
      <c r="B397" s="4" t="s">
        <v>5</v>
      </c>
      <c r="C397" s="4"/>
    </row>
    <row r="398" spans="1:4" x14ac:dyDescent="0.25">
      <c r="A398" s="5" t="s">
        <v>25</v>
      </c>
      <c r="B398" s="5"/>
      <c r="C398" s="5"/>
      <c r="D398" s="5"/>
    </row>
    <row r="399" spans="1:4" x14ac:dyDescent="0.25">
      <c r="A399" s="5"/>
      <c r="B399" s="5" t="s">
        <v>6</v>
      </c>
      <c r="C399" s="5"/>
      <c r="D399" s="5"/>
    </row>
    <row r="400" spans="1:4" x14ac:dyDescent="0.25">
      <c r="A400" s="8" t="s">
        <v>41</v>
      </c>
      <c r="B400" s="8" t="s">
        <v>7</v>
      </c>
      <c r="C400" s="6">
        <v>12</v>
      </c>
    </row>
    <row r="403" spans="1:14" ht="30" x14ac:dyDescent="0.25">
      <c r="A403" s="1" t="s">
        <v>0</v>
      </c>
      <c r="B403" s="2" t="s">
        <v>1</v>
      </c>
      <c r="C403" s="2" t="s">
        <v>2</v>
      </c>
      <c r="D403" s="2" t="s">
        <v>3</v>
      </c>
    </row>
    <row r="404" spans="1:14" x14ac:dyDescent="0.25">
      <c r="A404" s="3" t="s">
        <v>26</v>
      </c>
      <c r="B404" s="1">
        <f>K298</f>
        <v>71105.340000000026</v>
      </c>
      <c r="C404" s="1">
        <f>L298</f>
        <v>52610.78</v>
      </c>
      <c r="D404" s="10">
        <f>M298</f>
        <v>71138.340000000011</v>
      </c>
    </row>
    <row r="405" spans="1:14" x14ac:dyDescent="0.25">
      <c r="A405" s="14" t="s">
        <v>12</v>
      </c>
      <c r="B405" s="15"/>
      <c r="C405" s="16"/>
      <c r="D405" s="10">
        <f>B404-D404</f>
        <v>-32.999999999985448</v>
      </c>
      <c r="M405">
        <v>886.9</v>
      </c>
      <c r="N405">
        <v>14.14</v>
      </c>
    </row>
    <row r="406" spans="1:14" x14ac:dyDescent="0.25">
      <c r="K406">
        <f>341480.09-196306.32-18317.2-232.38-20380.92-30997.75</f>
        <v>75245.520000000019</v>
      </c>
      <c r="L406">
        <f>273930.71-157370.91-14750.92-186.3-16338.58-24962.67</f>
        <v>60321.330000000016</v>
      </c>
      <c r="M406">
        <f>M405*N405*6</f>
        <v>75244.59599999999</v>
      </c>
    </row>
    <row r="407" spans="1:14" x14ac:dyDescent="0.25">
      <c r="A407" s="5" t="s">
        <v>27</v>
      </c>
    </row>
    <row r="409" spans="1:14" x14ac:dyDescent="0.25">
      <c r="A409" s="9" t="s">
        <v>28</v>
      </c>
    </row>
    <row r="410" spans="1:14" x14ac:dyDescent="0.25">
      <c r="A410" s="9" t="s">
        <v>29</v>
      </c>
      <c r="B410" s="9"/>
      <c r="C410" s="9"/>
      <c r="D410" s="9"/>
    </row>
    <row r="411" spans="1:14" x14ac:dyDescent="0.25">
      <c r="A411" s="9" t="s">
        <v>30</v>
      </c>
      <c r="B411" s="9"/>
      <c r="C411" s="9"/>
      <c r="D411" s="9"/>
    </row>
    <row r="412" spans="1:14" x14ac:dyDescent="0.25">
      <c r="A412" s="9" t="s">
        <v>31</v>
      </c>
      <c r="B412" s="9"/>
      <c r="C412" s="9"/>
      <c r="D412" s="9"/>
    </row>
    <row r="413" spans="1:14" x14ac:dyDescent="0.25">
      <c r="A413" s="9" t="s">
        <v>32</v>
      </c>
      <c r="B413" s="9"/>
      <c r="C413" s="9"/>
      <c r="D413" s="9"/>
    </row>
    <row r="414" spans="1:14" x14ac:dyDescent="0.25">
      <c r="A414" s="9" t="s">
        <v>33</v>
      </c>
      <c r="B414" s="9"/>
      <c r="C414" s="9"/>
      <c r="D414" s="9"/>
    </row>
    <row r="415" spans="1:14" x14ac:dyDescent="0.25">
      <c r="A415" s="9" t="s">
        <v>34</v>
      </c>
      <c r="B415" s="9"/>
      <c r="C415" s="9"/>
      <c r="D415" s="9"/>
    </row>
    <row r="416" spans="1:14" x14ac:dyDescent="0.25">
      <c r="A416" s="9" t="s">
        <v>35</v>
      </c>
      <c r="B416" s="9"/>
      <c r="C416" s="9"/>
      <c r="D416" s="9"/>
    </row>
    <row r="417" spans="1:4" x14ac:dyDescent="0.25">
      <c r="A417" s="9" t="s">
        <v>36</v>
      </c>
      <c r="B417" s="9"/>
      <c r="C417" s="9"/>
      <c r="D417" s="9"/>
    </row>
    <row r="418" spans="1:4" x14ac:dyDescent="0.25">
      <c r="A418" s="9" t="s">
        <v>37</v>
      </c>
      <c r="B418" s="9"/>
      <c r="C418" s="9"/>
      <c r="D418" s="9"/>
    </row>
    <row r="419" spans="1:4" x14ac:dyDescent="0.25">
      <c r="A419" s="9" t="s">
        <v>38</v>
      </c>
      <c r="B419" s="9"/>
      <c r="C419" s="9"/>
      <c r="D419" s="9"/>
    </row>
    <row r="420" spans="1:4" x14ac:dyDescent="0.25">
      <c r="A420" s="9" t="s">
        <v>40</v>
      </c>
      <c r="B420" s="9"/>
      <c r="C420" s="9"/>
      <c r="D420" s="9"/>
    </row>
    <row r="421" spans="1:4" x14ac:dyDescent="0.25">
      <c r="A421" s="9" t="s">
        <v>39</v>
      </c>
      <c r="B421" s="9"/>
      <c r="C421" s="9"/>
      <c r="D421" s="9"/>
    </row>
    <row r="422" spans="1:4" x14ac:dyDescent="0.25">
      <c r="A422" s="9"/>
      <c r="B422" s="9"/>
      <c r="C422" s="9"/>
      <c r="D422" s="9"/>
    </row>
    <row r="423" spans="1:4" x14ac:dyDescent="0.25">
      <c r="A423" s="9"/>
      <c r="B423" s="9"/>
      <c r="C423" s="9"/>
      <c r="D423" s="9"/>
    </row>
    <row r="424" spans="1:4" x14ac:dyDescent="0.25">
      <c r="A424" s="9"/>
      <c r="B424" s="9"/>
      <c r="C424" s="9"/>
      <c r="D424" s="9"/>
    </row>
    <row r="425" spans="1:4" x14ac:dyDescent="0.25">
      <c r="A425" s="9"/>
      <c r="B425" s="9"/>
      <c r="C425" s="9"/>
      <c r="D425" s="9"/>
    </row>
    <row r="426" spans="1:4" x14ac:dyDescent="0.25">
      <c r="A426" s="9"/>
      <c r="B426" s="9"/>
      <c r="C426" s="9"/>
      <c r="D426" s="9"/>
    </row>
    <row r="427" spans="1:4" x14ac:dyDescent="0.25">
      <c r="A427" s="9"/>
      <c r="B427" s="9"/>
      <c r="C427" s="9"/>
      <c r="D427" s="9"/>
    </row>
    <row r="428" spans="1:4" x14ac:dyDescent="0.25">
      <c r="A428" s="9"/>
      <c r="B428" s="9"/>
      <c r="C428" s="9"/>
      <c r="D428" s="9"/>
    </row>
    <row r="429" spans="1:4" x14ac:dyDescent="0.25">
      <c r="A429" s="9"/>
      <c r="B429" s="9"/>
      <c r="C429" s="9"/>
      <c r="D429" s="9"/>
    </row>
    <row r="435" spans="1:14" x14ac:dyDescent="0.25">
      <c r="A435" t="s">
        <v>9</v>
      </c>
    </row>
    <row r="437" spans="1:14" x14ac:dyDescent="0.25">
      <c r="A437" t="s">
        <v>10</v>
      </c>
      <c r="B437" t="s">
        <v>11</v>
      </c>
    </row>
    <row r="443" spans="1:14" x14ac:dyDescent="0.25">
      <c r="M443">
        <v>914.1</v>
      </c>
      <c r="N443">
        <v>14.14</v>
      </c>
    </row>
    <row r="444" spans="1:14" x14ac:dyDescent="0.25">
      <c r="K444">
        <f>347257.07-202327.02-17105.67-318.06-21006.12-28946.96</f>
        <v>77553.24000000002</v>
      </c>
      <c r="L444">
        <f>228249.54-132543.09-11489.44-208.36-13760.96-19442.99</f>
        <v>50804.7</v>
      </c>
      <c r="M444">
        <f>M443*N443*6</f>
        <v>77552.244000000006</v>
      </c>
    </row>
    <row r="445" spans="1:14" ht="15.75" x14ac:dyDescent="0.25">
      <c r="B445" s="4" t="s">
        <v>4</v>
      </c>
      <c r="C445" s="4"/>
    </row>
    <row r="446" spans="1:14" ht="15.75" x14ac:dyDescent="0.25">
      <c r="B446" s="4" t="s">
        <v>5</v>
      </c>
      <c r="C446" s="4"/>
    </row>
    <row r="447" spans="1:14" x14ac:dyDescent="0.25">
      <c r="A447" s="5" t="s">
        <v>25</v>
      </c>
      <c r="B447" s="5"/>
      <c r="C447" s="5"/>
      <c r="D447" s="5"/>
    </row>
    <row r="448" spans="1:14" x14ac:dyDescent="0.25">
      <c r="A448" s="5"/>
      <c r="B448" s="5" t="s">
        <v>6</v>
      </c>
      <c r="C448" s="5"/>
      <c r="D448" s="5"/>
    </row>
    <row r="449" spans="1:4" x14ac:dyDescent="0.25">
      <c r="A449" s="8" t="s">
        <v>41</v>
      </c>
      <c r="B449" s="8" t="s">
        <v>7</v>
      </c>
      <c r="C449" s="6">
        <v>13</v>
      </c>
    </row>
    <row r="452" spans="1:4" ht="30" x14ac:dyDescent="0.25">
      <c r="A452" s="1" t="s">
        <v>0</v>
      </c>
      <c r="B452" s="2" t="s">
        <v>1</v>
      </c>
      <c r="C452" s="2" t="s">
        <v>2</v>
      </c>
      <c r="D452" s="2" t="s">
        <v>3</v>
      </c>
    </row>
    <row r="453" spans="1:4" x14ac:dyDescent="0.25">
      <c r="A453" s="3" t="s">
        <v>26</v>
      </c>
      <c r="B453" s="1">
        <f>K334</f>
        <v>79495.979999999981</v>
      </c>
      <c r="C453" s="1">
        <f>L334</f>
        <v>54057.990000000005</v>
      </c>
      <c r="D453" s="10">
        <f>M334</f>
        <v>79495.08</v>
      </c>
    </row>
    <row r="454" spans="1:4" x14ac:dyDescent="0.25">
      <c r="A454" s="14" t="s">
        <v>8</v>
      </c>
      <c r="B454" s="15"/>
      <c r="C454" s="16"/>
      <c r="D454" s="10">
        <f>B453-D453</f>
        <v>0.89999999997962732</v>
      </c>
    </row>
    <row r="456" spans="1:4" x14ac:dyDescent="0.25">
      <c r="A456" s="5" t="s">
        <v>27</v>
      </c>
    </row>
    <row r="458" spans="1:4" x14ac:dyDescent="0.25">
      <c r="A458" s="9" t="s">
        <v>28</v>
      </c>
    </row>
    <row r="459" spans="1:4" x14ac:dyDescent="0.25">
      <c r="A459" s="9" t="s">
        <v>29</v>
      </c>
      <c r="B459" s="9"/>
      <c r="C459" s="9"/>
      <c r="D459" s="9"/>
    </row>
    <row r="460" spans="1:4" x14ac:dyDescent="0.25">
      <c r="A460" s="9" t="s">
        <v>30</v>
      </c>
      <c r="B460" s="9"/>
      <c r="C460" s="9"/>
      <c r="D460" s="9"/>
    </row>
    <row r="461" spans="1:4" x14ac:dyDescent="0.25">
      <c r="A461" s="9" t="s">
        <v>31</v>
      </c>
      <c r="B461" s="9"/>
      <c r="C461" s="9"/>
      <c r="D461" s="9"/>
    </row>
    <row r="462" spans="1:4" x14ac:dyDescent="0.25">
      <c r="A462" s="9" t="s">
        <v>32</v>
      </c>
      <c r="B462" s="9"/>
      <c r="C462" s="9"/>
      <c r="D462" s="9"/>
    </row>
    <row r="463" spans="1:4" x14ac:dyDescent="0.25">
      <c r="A463" s="9" t="s">
        <v>33</v>
      </c>
      <c r="B463" s="9"/>
      <c r="C463" s="9"/>
      <c r="D463" s="9"/>
    </row>
    <row r="464" spans="1:4" x14ac:dyDescent="0.25">
      <c r="A464" s="9" t="s">
        <v>34</v>
      </c>
      <c r="B464" s="9"/>
      <c r="C464" s="9"/>
      <c r="D464" s="9"/>
    </row>
    <row r="465" spans="1:14" x14ac:dyDescent="0.25">
      <c r="A465" s="9" t="s">
        <v>35</v>
      </c>
      <c r="B465" s="9"/>
      <c r="C465" s="9"/>
      <c r="D465" s="9"/>
    </row>
    <row r="466" spans="1:14" x14ac:dyDescent="0.25">
      <c r="A466" s="9" t="s">
        <v>36</v>
      </c>
      <c r="B466" s="9"/>
      <c r="C466" s="9"/>
      <c r="D466" s="9"/>
    </row>
    <row r="467" spans="1:14" x14ac:dyDescent="0.25">
      <c r="A467" s="9" t="s">
        <v>37</v>
      </c>
      <c r="B467" s="9"/>
      <c r="C467" s="9"/>
      <c r="D467" s="9"/>
    </row>
    <row r="468" spans="1:14" x14ac:dyDescent="0.25">
      <c r="A468" s="9" t="s">
        <v>38</v>
      </c>
      <c r="B468" s="9"/>
      <c r="C468" s="9"/>
      <c r="D468" s="9"/>
    </row>
    <row r="469" spans="1:14" x14ac:dyDescent="0.25">
      <c r="A469" s="9" t="s">
        <v>40</v>
      </c>
      <c r="B469" s="9"/>
      <c r="C469" s="9"/>
      <c r="D469" s="9"/>
    </row>
    <row r="470" spans="1:14" x14ac:dyDescent="0.25">
      <c r="A470" s="9" t="s">
        <v>39</v>
      </c>
      <c r="B470" s="9"/>
      <c r="C470" s="9"/>
      <c r="D470" s="9"/>
    </row>
    <row r="471" spans="1:14" x14ac:dyDescent="0.25">
      <c r="A471" s="9"/>
      <c r="B471" s="9"/>
      <c r="C471" s="9"/>
      <c r="D471" s="9"/>
    </row>
    <row r="472" spans="1:14" x14ac:dyDescent="0.25">
      <c r="A472" s="9"/>
      <c r="B472" s="9"/>
      <c r="C472" s="9"/>
      <c r="D472" s="9"/>
    </row>
    <row r="473" spans="1:14" x14ac:dyDescent="0.25">
      <c r="A473" s="9"/>
      <c r="B473" s="9"/>
      <c r="C473" s="9"/>
      <c r="D473" s="9"/>
    </row>
    <row r="474" spans="1:14" x14ac:dyDescent="0.25">
      <c r="A474" s="9"/>
      <c r="B474" s="9"/>
      <c r="C474" s="9"/>
      <c r="D474" s="9"/>
    </row>
    <row r="475" spans="1:14" x14ac:dyDescent="0.25">
      <c r="A475" s="9"/>
      <c r="B475" s="9"/>
      <c r="C475" s="9"/>
      <c r="D475" s="9"/>
    </row>
    <row r="476" spans="1:14" x14ac:dyDescent="0.25">
      <c r="A476" s="9"/>
      <c r="B476" s="9"/>
      <c r="C476" s="9"/>
      <c r="D476" s="9"/>
    </row>
    <row r="477" spans="1:14" x14ac:dyDescent="0.25">
      <c r="A477" s="9"/>
      <c r="B477" s="9"/>
      <c r="C477" s="9"/>
      <c r="D477" s="9"/>
    </row>
    <row r="478" spans="1:14" x14ac:dyDescent="0.25">
      <c r="A478" s="9"/>
      <c r="B478" s="9"/>
      <c r="C478" s="9"/>
      <c r="D478" s="9"/>
      <c r="M478">
        <v>918.2</v>
      </c>
      <c r="N478">
        <v>14.14</v>
      </c>
    </row>
    <row r="479" spans="1:14" x14ac:dyDescent="0.25">
      <c r="K479">
        <f>334006.32-203146.02-11655.18-522.96-21091.26-19723.74</f>
        <v>77867.160000000018</v>
      </c>
      <c r="L479">
        <f>250716.42-154359.09-7713.58-397.34-16026.04-13053.62</f>
        <v>59166.750000000022</v>
      </c>
      <c r="M479">
        <f>M478*N478*6</f>
        <v>77900.088000000018</v>
      </c>
    </row>
    <row r="484" spans="1:4" x14ac:dyDescent="0.25">
      <c r="A484" t="s">
        <v>9</v>
      </c>
    </row>
    <row r="486" spans="1:4" x14ac:dyDescent="0.25">
      <c r="A486" t="s">
        <v>10</v>
      </c>
      <c r="B486" t="s">
        <v>11</v>
      </c>
    </row>
    <row r="494" spans="1:4" ht="15.75" x14ac:dyDescent="0.25">
      <c r="B494" s="4" t="s">
        <v>4</v>
      </c>
      <c r="C494" s="4"/>
    </row>
    <row r="495" spans="1:4" ht="15.75" x14ac:dyDescent="0.25">
      <c r="B495" s="4" t="s">
        <v>5</v>
      </c>
      <c r="C495" s="4"/>
    </row>
    <row r="496" spans="1:4" x14ac:dyDescent="0.25">
      <c r="A496" s="5" t="s">
        <v>25</v>
      </c>
      <c r="B496" s="5"/>
      <c r="C496" s="5"/>
      <c r="D496" s="5"/>
    </row>
    <row r="497" spans="1:4" x14ac:dyDescent="0.25">
      <c r="A497" s="5"/>
      <c r="B497" s="5" t="s">
        <v>6</v>
      </c>
      <c r="C497" s="5"/>
      <c r="D497" s="5"/>
    </row>
    <row r="498" spans="1:4" x14ac:dyDescent="0.25">
      <c r="A498" s="8" t="s">
        <v>41</v>
      </c>
      <c r="B498" s="8" t="s">
        <v>7</v>
      </c>
      <c r="C498" s="6">
        <v>14</v>
      </c>
    </row>
    <row r="501" spans="1:4" ht="30" x14ac:dyDescent="0.25">
      <c r="A501" s="1" t="s">
        <v>0</v>
      </c>
      <c r="B501" s="2" t="s">
        <v>1</v>
      </c>
      <c r="C501" s="2" t="s">
        <v>2</v>
      </c>
      <c r="D501" s="2" t="s">
        <v>3</v>
      </c>
    </row>
    <row r="502" spans="1:4" x14ac:dyDescent="0.25">
      <c r="A502" s="3" t="s">
        <v>26</v>
      </c>
      <c r="B502" s="1">
        <f>K370</f>
        <v>77985.900000000023</v>
      </c>
      <c r="C502" s="1">
        <f>L370</f>
        <v>59311.22</v>
      </c>
      <c r="D502" s="10">
        <f>M370</f>
        <v>77984.928000000014</v>
      </c>
    </row>
    <row r="503" spans="1:4" x14ac:dyDescent="0.25">
      <c r="A503" s="14" t="s">
        <v>8</v>
      </c>
      <c r="B503" s="15"/>
      <c r="C503" s="16"/>
      <c r="D503" s="10">
        <f>B502-D502</f>
        <v>0.97200000000884756</v>
      </c>
    </row>
    <row r="505" spans="1:4" x14ac:dyDescent="0.25">
      <c r="A505" s="5" t="s">
        <v>27</v>
      </c>
    </row>
    <row r="507" spans="1:4" x14ac:dyDescent="0.25">
      <c r="A507" s="9" t="s">
        <v>28</v>
      </c>
    </row>
    <row r="508" spans="1:4" x14ac:dyDescent="0.25">
      <c r="A508" s="9" t="s">
        <v>29</v>
      </c>
      <c r="B508" s="9"/>
      <c r="C508" s="9"/>
      <c r="D508" s="9"/>
    </row>
    <row r="509" spans="1:4" x14ac:dyDescent="0.25">
      <c r="A509" s="9" t="s">
        <v>30</v>
      </c>
      <c r="B509" s="9"/>
      <c r="C509" s="9"/>
      <c r="D509" s="9"/>
    </row>
    <row r="510" spans="1:4" x14ac:dyDescent="0.25">
      <c r="A510" s="9" t="s">
        <v>31</v>
      </c>
      <c r="B510" s="9"/>
      <c r="C510" s="9"/>
      <c r="D510" s="9"/>
    </row>
    <row r="511" spans="1:4" x14ac:dyDescent="0.25">
      <c r="A511" s="9" t="s">
        <v>32</v>
      </c>
      <c r="B511" s="9"/>
      <c r="C511" s="9"/>
      <c r="D511" s="9"/>
    </row>
    <row r="512" spans="1:4" x14ac:dyDescent="0.25">
      <c r="A512" s="9" t="s">
        <v>33</v>
      </c>
      <c r="B512" s="9"/>
      <c r="C512" s="9"/>
      <c r="D512" s="9"/>
    </row>
    <row r="513" spans="1:14" x14ac:dyDescent="0.25">
      <c r="A513" s="9" t="s">
        <v>34</v>
      </c>
      <c r="B513" s="9"/>
      <c r="C513" s="9"/>
      <c r="D513" s="9"/>
    </row>
    <row r="514" spans="1:14" x14ac:dyDescent="0.25">
      <c r="A514" s="9" t="s">
        <v>35</v>
      </c>
      <c r="B514" s="9"/>
      <c r="C514" s="9"/>
      <c r="D514" s="9"/>
      <c r="M514">
        <v>782.5</v>
      </c>
      <c r="N514">
        <v>14.19</v>
      </c>
    </row>
    <row r="515" spans="1:14" x14ac:dyDescent="0.25">
      <c r="A515" s="9" t="s">
        <v>36</v>
      </c>
      <c r="B515" s="9"/>
      <c r="C515" s="9"/>
      <c r="D515" s="9"/>
      <c r="K515">
        <f>294584.24-173198.52-14010.83-374.34-16667.58-23709.63</f>
        <v>66623.34</v>
      </c>
      <c r="L515">
        <f>198613.46-117768.47-8904.81-254.52-11333.28-15069.11</f>
        <v>45283.26999999999</v>
      </c>
      <c r="M515">
        <f>M514*N514*6</f>
        <v>66622.049999999988</v>
      </c>
    </row>
    <row r="516" spans="1:14" x14ac:dyDescent="0.25">
      <c r="A516" s="9" t="s">
        <v>37</v>
      </c>
      <c r="B516" s="9"/>
      <c r="C516" s="9"/>
      <c r="D516" s="9"/>
    </row>
    <row r="517" spans="1:14" x14ac:dyDescent="0.25">
      <c r="A517" s="9" t="s">
        <v>38</v>
      </c>
      <c r="B517" s="9"/>
      <c r="C517" s="9"/>
      <c r="D517" s="9"/>
    </row>
    <row r="518" spans="1:14" x14ac:dyDescent="0.25">
      <c r="A518" s="9" t="s">
        <v>40</v>
      </c>
      <c r="B518" s="9"/>
      <c r="C518" s="9"/>
      <c r="D518" s="9"/>
    </row>
    <row r="519" spans="1:14" x14ac:dyDescent="0.25">
      <c r="A519" s="9" t="s">
        <v>39</v>
      </c>
      <c r="B519" s="9"/>
      <c r="C519" s="9"/>
      <c r="D519" s="9"/>
    </row>
    <row r="520" spans="1:14" x14ac:dyDescent="0.25">
      <c r="A520" s="9"/>
      <c r="B520" s="9"/>
      <c r="C520" s="9"/>
      <c r="D520" s="9"/>
    </row>
    <row r="521" spans="1:14" x14ac:dyDescent="0.25">
      <c r="A521" s="9"/>
      <c r="B521" s="9"/>
      <c r="C521" s="9"/>
      <c r="D521" s="9"/>
    </row>
    <row r="522" spans="1:14" x14ac:dyDescent="0.25">
      <c r="A522" s="9"/>
      <c r="B522" s="9"/>
      <c r="C522" s="9"/>
      <c r="D522" s="9"/>
    </row>
    <row r="523" spans="1:14" x14ac:dyDescent="0.25">
      <c r="A523" s="9"/>
      <c r="B523" s="9"/>
      <c r="C523" s="9"/>
      <c r="D523" s="9"/>
    </row>
    <row r="524" spans="1:14" x14ac:dyDescent="0.25">
      <c r="A524" s="9"/>
      <c r="B524" s="9"/>
      <c r="C524" s="9"/>
      <c r="D524" s="9"/>
    </row>
    <row r="525" spans="1:14" x14ac:dyDescent="0.25">
      <c r="A525" s="9"/>
      <c r="B525" s="9"/>
      <c r="C525" s="9"/>
      <c r="D525" s="9"/>
    </row>
    <row r="526" spans="1:14" x14ac:dyDescent="0.25">
      <c r="A526" s="9"/>
      <c r="B526" s="9"/>
      <c r="C526" s="9"/>
      <c r="D526" s="9"/>
    </row>
    <row r="527" spans="1:14" x14ac:dyDescent="0.25">
      <c r="A527" s="9"/>
      <c r="B527" s="9"/>
      <c r="C527" s="9"/>
      <c r="D527" s="9"/>
    </row>
    <row r="533" spans="1:3" x14ac:dyDescent="0.25">
      <c r="A533" t="s">
        <v>9</v>
      </c>
    </row>
    <row r="535" spans="1:3" x14ac:dyDescent="0.25">
      <c r="A535" t="s">
        <v>10</v>
      </c>
      <c r="B535" t="s">
        <v>11</v>
      </c>
    </row>
    <row r="543" spans="1:3" ht="15.75" x14ac:dyDescent="0.25">
      <c r="B543" s="4" t="s">
        <v>4</v>
      </c>
      <c r="C543" s="4"/>
    </row>
    <row r="544" spans="1:3" ht="15.75" x14ac:dyDescent="0.25">
      <c r="B544" s="4" t="s">
        <v>5</v>
      </c>
      <c r="C544" s="4"/>
    </row>
    <row r="545" spans="1:14" x14ac:dyDescent="0.25">
      <c r="A545" s="5" t="s">
        <v>25</v>
      </c>
      <c r="B545" s="5"/>
      <c r="C545" s="5"/>
      <c r="D545" s="5"/>
    </row>
    <row r="546" spans="1:14" x14ac:dyDescent="0.25">
      <c r="A546" s="5"/>
      <c r="B546" s="5" t="s">
        <v>6</v>
      </c>
      <c r="C546" s="5"/>
      <c r="D546" s="5"/>
    </row>
    <row r="547" spans="1:14" x14ac:dyDescent="0.25">
      <c r="A547" s="8" t="s">
        <v>41</v>
      </c>
      <c r="B547" s="8" t="s">
        <v>7</v>
      </c>
      <c r="C547" s="6">
        <v>15</v>
      </c>
    </row>
    <row r="549" spans="1:14" x14ac:dyDescent="0.25">
      <c r="M549">
        <v>923.6</v>
      </c>
      <c r="N549">
        <v>14.14</v>
      </c>
    </row>
    <row r="550" spans="1:14" ht="30" x14ac:dyDescent="0.25">
      <c r="A550" s="1" t="s">
        <v>0</v>
      </c>
      <c r="B550" s="2" t="s">
        <v>1</v>
      </c>
      <c r="C550" s="2" t="s">
        <v>2</v>
      </c>
      <c r="D550" s="2" t="s">
        <v>3</v>
      </c>
      <c r="K550">
        <f>352551.73-192831.54-22034.64-522.12-21286.44-37288.75</f>
        <v>78588.239999999991</v>
      </c>
      <c r="L550">
        <f>275371.62-152563.19-16757.51-404.06-16472.58-28358.54</f>
        <v>60815.74</v>
      </c>
      <c r="M550">
        <f>M549*N549*6</f>
        <v>78358.224000000017</v>
      </c>
    </row>
    <row r="551" spans="1:14" x14ac:dyDescent="0.25">
      <c r="A551" s="3" t="s">
        <v>26</v>
      </c>
      <c r="B551" s="1">
        <f>K406</f>
        <v>75245.520000000019</v>
      </c>
      <c r="C551" s="1">
        <f>L406</f>
        <v>60321.330000000016</v>
      </c>
      <c r="D551" s="10">
        <f>M406</f>
        <v>75244.59599999999</v>
      </c>
    </row>
    <row r="552" spans="1:14" x14ac:dyDescent="0.25">
      <c r="A552" s="14" t="s">
        <v>8</v>
      </c>
      <c r="B552" s="15"/>
      <c r="C552" s="16"/>
      <c r="D552" s="10">
        <f>B551-D551</f>
        <v>0.92400000002817251</v>
      </c>
    </row>
    <row r="554" spans="1:14" x14ac:dyDescent="0.25">
      <c r="A554" s="5" t="s">
        <v>27</v>
      </c>
    </row>
    <row r="556" spans="1:14" x14ac:dyDescent="0.25">
      <c r="A556" s="9" t="s">
        <v>28</v>
      </c>
    </row>
    <row r="557" spans="1:14" x14ac:dyDescent="0.25">
      <c r="A557" s="9" t="s">
        <v>29</v>
      </c>
      <c r="B557" s="9"/>
      <c r="C557" s="9"/>
      <c r="D557" s="9"/>
    </row>
    <row r="558" spans="1:14" x14ac:dyDescent="0.25">
      <c r="A558" s="9" t="s">
        <v>30</v>
      </c>
      <c r="B558" s="9"/>
      <c r="C558" s="9"/>
      <c r="D558" s="9"/>
    </row>
    <row r="559" spans="1:14" x14ac:dyDescent="0.25">
      <c r="A559" s="9" t="s">
        <v>31</v>
      </c>
      <c r="B559" s="9"/>
      <c r="C559" s="9"/>
      <c r="D559" s="9"/>
    </row>
    <row r="560" spans="1:14" x14ac:dyDescent="0.25">
      <c r="A560" s="9" t="s">
        <v>32</v>
      </c>
      <c r="B560" s="9"/>
      <c r="C560" s="9"/>
      <c r="D560" s="9"/>
    </row>
    <row r="561" spans="1:4" x14ac:dyDescent="0.25">
      <c r="A561" s="9" t="s">
        <v>33</v>
      </c>
      <c r="B561" s="9"/>
      <c r="C561" s="9"/>
      <c r="D561" s="9"/>
    </row>
    <row r="562" spans="1:4" x14ac:dyDescent="0.25">
      <c r="A562" s="9" t="s">
        <v>34</v>
      </c>
      <c r="B562" s="9"/>
      <c r="C562" s="9"/>
      <c r="D562" s="9"/>
    </row>
    <row r="563" spans="1:4" x14ac:dyDescent="0.25">
      <c r="A563" s="9" t="s">
        <v>35</v>
      </c>
      <c r="B563" s="9"/>
      <c r="C563" s="9"/>
      <c r="D563" s="9"/>
    </row>
    <row r="564" spans="1:4" x14ac:dyDescent="0.25">
      <c r="A564" s="9" t="s">
        <v>36</v>
      </c>
      <c r="B564" s="9"/>
      <c r="C564" s="9"/>
      <c r="D564" s="9"/>
    </row>
    <row r="565" spans="1:4" x14ac:dyDescent="0.25">
      <c r="A565" s="9" t="s">
        <v>37</v>
      </c>
      <c r="B565" s="9"/>
      <c r="C565" s="9"/>
      <c r="D565" s="9"/>
    </row>
    <row r="566" spans="1:4" x14ac:dyDescent="0.25">
      <c r="A566" s="9" t="s">
        <v>38</v>
      </c>
      <c r="B566" s="9"/>
      <c r="C566" s="9"/>
      <c r="D566" s="9"/>
    </row>
    <row r="567" spans="1:4" x14ac:dyDescent="0.25">
      <c r="A567" s="9" t="s">
        <v>40</v>
      </c>
      <c r="B567" s="9"/>
      <c r="C567" s="9"/>
      <c r="D567" s="9"/>
    </row>
    <row r="568" spans="1:4" x14ac:dyDescent="0.25">
      <c r="A568" s="9" t="s">
        <v>39</v>
      </c>
      <c r="B568" s="9"/>
      <c r="C568" s="9"/>
      <c r="D568" s="9"/>
    </row>
    <row r="569" spans="1:4" x14ac:dyDescent="0.25">
      <c r="A569" s="9"/>
      <c r="B569" s="9"/>
      <c r="C569" s="9"/>
      <c r="D569" s="9"/>
    </row>
    <row r="570" spans="1:4" x14ac:dyDescent="0.25">
      <c r="A570" s="9"/>
      <c r="B570" s="9"/>
      <c r="C570" s="9"/>
      <c r="D570" s="9"/>
    </row>
    <row r="571" spans="1:4" x14ac:dyDescent="0.25">
      <c r="A571" s="9"/>
      <c r="B571" s="9"/>
      <c r="C571" s="9"/>
      <c r="D571" s="9"/>
    </row>
    <row r="572" spans="1:4" x14ac:dyDescent="0.25">
      <c r="A572" s="9"/>
      <c r="B572" s="9"/>
      <c r="C572" s="9"/>
      <c r="D572" s="9"/>
    </row>
    <row r="573" spans="1:4" x14ac:dyDescent="0.25">
      <c r="A573" s="9"/>
      <c r="B573" s="9"/>
      <c r="C573" s="9"/>
      <c r="D573" s="9"/>
    </row>
    <row r="574" spans="1:4" x14ac:dyDescent="0.25">
      <c r="A574" s="9"/>
      <c r="B574" s="9"/>
      <c r="C574" s="9"/>
      <c r="D574" s="9"/>
    </row>
    <row r="575" spans="1:4" x14ac:dyDescent="0.25">
      <c r="A575" s="9"/>
      <c r="B575" s="9"/>
      <c r="C575" s="9"/>
      <c r="D575" s="9"/>
    </row>
    <row r="576" spans="1:4" x14ac:dyDescent="0.25">
      <c r="A576" s="9"/>
      <c r="B576" s="9"/>
      <c r="C576" s="9"/>
      <c r="D576" s="9"/>
    </row>
    <row r="582" spans="1:14" x14ac:dyDescent="0.25">
      <c r="A582" t="s">
        <v>9</v>
      </c>
    </row>
    <row r="584" spans="1:14" x14ac:dyDescent="0.25">
      <c r="A584" t="s">
        <v>10</v>
      </c>
      <c r="B584" t="s">
        <v>11</v>
      </c>
    </row>
    <row r="585" spans="1:14" x14ac:dyDescent="0.25">
      <c r="M585">
        <v>782.9</v>
      </c>
      <c r="N585">
        <v>14.19</v>
      </c>
    </row>
    <row r="586" spans="1:14" x14ac:dyDescent="0.25">
      <c r="K586">
        <f>294829.33-173287.14-13764.34-400.2-17427.42-23292.45</f>
        <v>66657.780000000013</v>
      </c>
      <c r="L586">
        <f>204788.63-121415.33-8980.49-280.38-12210.7-15197.12</f>
        <v>46704.609999999993</v>
      </c>
      <c r="M586">
        <f>M585*N585*6</f>
        <v>66656.106</v>
      </c>
    </row>
    <row r="592" spans="1:14" ht="15.75" x14ac:dyDescent="0.25">
      <c r="B592" s="4" t="s">
        <v>4</v>
      </c>
      <c r="C592" s="4"/>
    </row>
    <row r="593" spans="1:4" ht="15.75" x14ac:dyDescent="0.25">
      <c r="B593" s="4" t="s">
        <v>5</v>
      </c>
      <c r="C593" s="4"/>
    </row>
    <row r="594" spans="1:4" x14ac:dyDescent="0.25">
      <c r="A594" s="5" t="s">
        <v>25</v>
      </c>
      <c r="B594" s="5"/>
      <c r="C594" s="5"/>
      <c r="D594" s="5"/>
    </row>
    <row r="595" spans="1:4" x14ac:dyDescent="0.25">
      <c r="A595" s="5"/>
      <c r="B595" s="5" t="s">
        <v>6</v>
      </c>
      <c r="C595" s="5"/>
      <c r="D595" s="5"/>
    </row>
    <row r="596" spans="1:4" x14ac:dyDescent="0.25">
      <c r="A596" s="8" t="s">
        <v>41</v>
      </c>
      <c r="B596" s="8" t="s">
        <v>7</v>
      </c>
      <c r="C596" s="6">
        <v>16</v>
      </c>
    </row>
    <row r="599" spans="1:4" ht="30" x14ac:dyDescent="0.25">
      <c r="A599" s="1" t="s">
        <v>0</v>
      </c>
      <c r="B599" s="2" t="s">
        <v>1</v>
      </c>
      <c r="C599" s="2" t="s">
        <v>2</v>
      </c>
      <c r="D599" s="2" t="s">
        <v>3</v>
      </c>
    </row>
    <row r="600" spans="1:4" x14ac:dyDescent="0.25">
      <c r="A600" s="3" t="s">
        <v>26</v>
      </c>
      <c r="B600" s="1">
        <f>K444</f>
        <v>77553.24000000002</v>
      </c>
      <c r="C600" s="1">
        <f>L444</f>
        <v>50804.7</v>
      </c>
      <c r="D600" s="10">
        <f>M444</f>
        <v>77552.244000000006</v>
      </c>
    </row>
    <row r="601" spans="1:4" x14ac:dyDescent="0.25">
      <c r="A601" s="14" t="s">
        <v>8</v>
      </c>
      <c r="B601" s="15"/>
      <c r="C601" s="16"/>
      <c r="D601" s="10">
        <f>B600-D600</f>
        <v>0.99600000001373701</v>
      </c>
    </row>
    <row r="603" spans="1:4" x14ac:dyDescent="0.25">
      <c r="A603" s="5" t="s">
        <v>27</v>
      </c>
    </row>
    <row r="605" spans="1:4" x14ac:dyDescent="0.25">
      <c r="A605" s="9" t="s">
        <v>28</v>
      </c>
    </row>
    <row r="606" spans="1:4" x14ac:dyDescent="0.25">
      <c r="A606" s="9" t="s">
        <v>29</v>
      </c>
      <c r="B606" s="9"/>
      <c r="C606" s="9"/>
      <c r="D606" s="9"/>
    </row>
    <row r="607" spans="1:4" x14ac:dyDescent="0.25">
      <c r="A607" s="9" t="s">
        <v>30</v>
      </c>
      <c r="B607" s="9"/>
      <c r="C607" s="9"/>
      <c r="D607" s="9"/>
    </row>
    <row r="608" spans="1:4" x14ac:dyDescent="0.25">
      <c r="A608" s="9" t="s">
        <v>31</v>
      </c>
      <c r="B608" s="9"/>
      <c r="C608" s="9"/>
      <c r="D608" s="9"/>
    </row>
    <row r="609" spans="1:14" x14ac:dyDescent="0.25">
      <c r="A609" s="9" t="s">
        <v>32</v>
      </c>
      <c r="B609" s="9"/>
      <c r="C609" s="9"/>
      <c r="D609" s="9"/>
    </row>
    <row r="610" spans="1:14" x14ac:dyDescent="0.25">
      <c r="A610" s="9" t="s">
        <v>33</v>
      </c>
      <c r="B610" s="9"/>
      <c r="C610" s="9"/>
      <c r="D610" s="9"/>
    </row>
    <row r="611" spans="1:14" x14ac:dyDescent="0.25">
      <c r="A611" s="9" t="s">
        <v>34</v>
      </c>
      <c r="B611" s="9"/>
      <c r="C611" s="9"/>
      <c r="D611" s="9"/>
    </row>
    <row r="612" spans="1:14" x14ac:dyDescent="0.25">
      <c r="A612" s="9" t="s">
        <v>35</v>
      </c>
      <c r="B612" s="9"/>
      <c r="C612" s="9"/>
      <c r="D612" s="9"/>
    </row>
    <row r="613" spans="1:14" x14ac:dyDescent="0.25">
      <c r="A613" s="9" t="s">
        <v>36</v>
      </c>
      <c r="B613" s="9"/>
      <c r="C613" s="9"/>
      <c r="D613" s="9"/>
    </row>
    <row r="614" spans="1:14" x14ac:dyDescent="0.25">
      <c r="A614" s="9" t="s">
        <v>37</v>
      </c>
      <c r="B614" s="9"/>
      <c r="C614" s="9"/>
      <c r="D614" s="9"/>
    </row>
    <row r="615" spans="1:14" x14ac:dyDescent="0.25">
      <c r="A615" s="9" t="s">
        <v>38</v>
      </c>
      <c r="B615" s="9"/>
      <c r="C615" s="9"/>
      <c r="D615" s="9"/>
    </row>
    <row r="616" spans="1:14" x14ac:dyDescent="0.25">
      <c r="A616" s="9" t="s">
        <v>40</v>
      </c>
      <c r="B616" s="9"/>
      <c r="C616" s="9"/>
      <c r="D616" s="9"/>
    </row>
    <row r="617" spans="1:14" x14ac:dyDescent="0.25">
      <c r="A617" s="9" t="s">
        <v>39</v>
      </c>
      <c r="B617" s="9"/>
      <c r="C617" s="9"/>
      <c r="D617" s="9"/>
    </row>
    <row r="618" spans="1:14" x14ac:dyDescent="0.25">
      <c r="A618" s="9"/>
      <c r="B618" s="9"/>
      <c r="C618" s="9"/>
      <c r="D618" s="9"/>
    </row>
    <row r="619" spans="1:14" x14ac:dyDescent="0.25">
      <c r="A619" s="9"/>
      <c r="B619" s="9"/>
      <c r="C619" s="9"/>
      <c r="D619" s="9"/>
    </row>
    <row r="620" spans="1:14" x14ac:dyDescent="0.25">
      <c r="A620" s="9"/>
      <c r="B620" s="9"/>
      <c r="C620" s="9"/>
      <c r="D620" s="9"/>
      <c r="M620">
        <v>799.4</v>
      </c>
      <c r="N620">
        <v>14.19</v>
      </c>
    </row>
    <row r="621" spans="1:14" x14ac:dyDescent="0.25">
      <c r="A621" s="9"/>
      <c r="B621" s="9"/>
      <c r="C621" s="9"/>
      <c r="D621" s="9"/>
      <c r="K621">
        <f>309581.71-167820.24-21006.26-117.66-17027.64-35547.47</f>
        <v>68062.440000000031</v>
      </c>
      <c r="L621">
        <f>207956.06-115704.63-12210.18-81.98-11866.07-20662.56</f>
        <v>47430.640000000014</v>
      </c>
      <c r="M621">
        <f>M620*N620*6</f>
        <v>68060.915999999997</v>
      </c>
    </row>
    <row r="622" spans="1:14" x14ac:dyDescent="0.25">
      <c r="A622" s="9"/>
      <c r="B622" s="9"/>
      <c r="C622" s="9"/>
      <c r="D622" s="9"/>
    </row>
    <row r="623" spans="1:14" x14ac:dyDescent="0.25">
      <c r="A623" s="9"/>
      <c r="B623" s="9"/>
      <c r="C623" s="9"/>
      <c r="D623" s="9"/>
    </row>
    <row r="624" spans="1:14" x14ac:dyDescent="0.25">
      <c r="A624" s="9"/>
      <c r="B624" s="9"/>
      <c r="C624" s="9"/>
      <c r="D624" s="9"/>
    </row>
    <row r="625" spans="1:4" x14ac:dyDescent="0.25">
      <c r="A625" s="9"/>
      <c r="B625" s="9"/>
      <c r="C625" s="9"/>
      <c r="D625" s="9"/>
    </row>
    <row r="631" spans="1:4" x14ac:dyDescent="0.25">
      <c r="A631" t="s">
        <v>9</v>
      </c>
    </row>
    <row r="633" spans="1:4" x14ac:dyDescent="0.25">
      <c r="A633" t="s">
        <v>10</v>
      </c>
      <c r="B633" t="s">
        <v>11</v>
      </c>
    </row>
    <row r="641" spans="1:4" ht="15.75" x14ac:dyDescent="0.25">
      <c r="B641" s="4" t="s">
        <v>4</v>
      </c>
      <c r="C641" s="4"/>
    </row>
    <row r="642" spans="1:4" ht="15.75" x14ac:dyDescent="0.25">
      <c r="B642" s="4" t="s">
        <v>5</v>
      </c>
      <c r="C642" s="4"/>
    </row>
    <row r="643" spans="1:4" x14ac:dyDescent="0.25">
      <c r="A643" s="5" t="s">
        <v>25</v>
      </c>
      <c r="B643" s="5"/>
      <c r="C643" s="5"/>
      <c r="D643" s="5"/>
    </row>
    <row r="644" spans="1:4" x14ac:dyDescent="0.25">
      <c r="A644" s="5"/>
      <c r="B644" s="5" t="s">
        <v>6</v>
      </c>
      <c r="C644" s="5"/>
      <c r="D644" s="5"/>
    </row>
    <row r="645" spans="1:4" x14ac:dyDescent="0.25">
      <c r="A645" s="8" t="s">
        <v>41</v>
      </c>
      <c r="B645" s="8" t="s">
        <v>7</v>
      </c>
      <c r="C645" s="6">
        <v>17</v>
      </c>
    </row>
    <row r="648" spans="1:4" ht="30" x14ac:dyDescent="0.25">
      <c r="A648" s="1" t="s">
        <v>0</v>
      </c>
      <c r="B648" s="2" t="s">
        <v>1</v>
      </c>
      <c r="C648" s="2" t="s">
        <v>2</v>
      </c>
      <c r="D648" s="2" t="s">
        <v>3</v>
      </c>
    </row>
    <row r="649" spans="1:4" x14ac:dyDescent="0.25">
      <c r="A649" s="3" t="s">
        <v>26</v>
      </c>
      <c r="B649" s="1">
        <f>K479</f>
        <v>77867.160000000018</v>
      </c>
      <c r="C649" s="1">
        <f>L479</f>
        <v>59166.750000000022</v>
      </c>
      <c r="D649" s="10">
        <f>M479</f>
        <v>77900.088000000018</v>
      </c>
    </row>
    <row r="650" spans="1:4" x14ac:dyDescent="0.25">
      <c r="A650" s="14" t="s">
        <v>12</v>
      </c>
      <c r="B650" s="15"/>
      <c r="C650" s="16"/>
      <c r="D650" s="10">
        <f>B649-D649</f>
        <v>-32.927999999999884</v>
      </c>
    </row>
    <row r="652" spans="1:4" x14ac:dyDescent="0.25">
      <c r="A652" s="5" t="s">
        <v>27</v>
      </c>
    </row>
    <row r="654" spans="1:4" x14ac:dyDescent="0.25">
      <c r="A654" s="9" t="s">
        <v>28</v>
      </c>
    </row>
    <row r="655" spans="1:4" x14ac:dyDescent="0.25">
      <c r="A655" s="9" t="s">
        <v>29</v>
      </c>
      <c r="B655" s="9"/>
      <c r="C655" s="9"/>
      <c r="D655" s="9"/>
    </row>
    <row r="656" spans="1:4" x14ac:dyDescent="0.25">
      <c r="A656" s="9" t="s">
        <v>30</v>
      </c>
      <c r="B656" s="9"/>
      <c r="C656" s="9"/>
      <c r="D656" s="9"/>
    </row>
    <row r="657" spans="1:14" x14ac:dyDescent="0.25">
      <c r="A657" s="9" t="s">
        <v>31</v>
      </c>
      <c r="B657" s="9"/>
      <c r="C657" s="9"/>
      <c r="D657" s="9"/>
      <c r="M657">
        <v>878.5</v>
      </c>
      <c r="N657">
        <v>14.19</v>
      </c>
    </row>
    <row r="658" spans="1:14" x14ac:dyDescent="0.25">
      <c r="A658" s="9" t="s">
        <v>32</v>
      </c>
      <c r="B658" s="9"/>
      <c r="C658" s="9"/>
      <c r="D658" s="9"/>
      <c r="K658">
        <f>330103.79-184509.18-18828.65-309.48-19855.98-31862.88</f>
        <v>74737.62</v>
      </c>
      <c r="L658">
        <f>251855.1-142144.68-13481.93-239.42-15359.83-22815.04</f>
        <v>57814.200000000019</v>
      </c>
      <c r="M658">
        <f>M657*N657*6</f>
        <v>74795.489999999991</v>
      </c>
    </row>
    <row r="659" spans="1:14" x14ac:dyDescent="0.25">
      <c r="A659" s="9" t="s">
        <v>33</v>
      </c>
      <c r="B659" s="9"/>
      <c r="C659" s="9"/>
      <c r="D659" s="9"/>
    </row>
    <row r="660" spans="1:14" x14ac:dyDescent="0.25">
      <c r="A660" s="9" t="s">
        <v>34</v>
      </c>
      <c r="B660" s="9"/>
      <c r="C660" s="9"/>
      <c r="D660" s="9"/>
    </row>
    <row r="661" spans="1:14" x14ac:dyDescent="0.25">
      <c r="A661" s="9" t="s">
        <v>35</v>
      </c>
      <c r="B661" s="9"/>
      <c r="C661" s="9"/>
      <c r="D661" s="9"/>
    </row>
    <row r="662" spans="1:14" x14ac:dyDescent="0.25">
      <c r="A662" s="9" t="s">
        <v>36</v>
      </c>
      <c r="B662" s="9"/>
      <c r="C662" s="9"/>
      <c r="D662" s="9"/>
    </row>
    <row r="663" spans="1:14" x14ac:dyDescent="0.25">
      <c r="A663" s="9" t="s">
        <v>37</v>
      </c>
      <c r="B663" s="9"/>
      <c r="C663" s="9"/>
      <c r="D663" s="9"/>
    </row>
    <row r="664" spans="1:14" x14ac:dyDescent="0.25">
      <c r="A664" s="9" t="s">
        <v>38</v>
      </c>
      <c r="B664" s="9"/>
      <c r="C664" s="9"/>
      <c r="D664" s="9"/>
    </row>
    <row r="665" spans="1:14" x14ac:dyDescent="0.25">
      <c r="A665" s="9" t="s">
        <v>40</v>
      </c>
      <c r="B665" s="9"/>
      <c r="C665" s="9"/>
      <c r="D665" s="9"/>
    </row>
    <row r="666" spans="1:14" x14ac:dyDescent="0.25">
      <c r="A666" s="9" t="s">
        <v>39</v>
      </c>
      <c r="B666" s="9"/>
      <c r="C666" s="9"/>
      <c r="D666" s="9"/>
    </row>
    <row r="667" spans="1:14" x14ac:dyDescent="0.25">
      <c r="A667" s="9"/>
      <c r="B667" s="9"/>
      <c r="C667" s="9"/>
      <c r="D667" s="9"/>
    </row>
    <row r="668" spans="1:14" x14ac:dyDescent="0.25">
      <c r="A668" s="9"/>
      <c r="B668" s="9"/>
      <c r="C668" s="9"/>
      <c r="D668" s="9"/>
    </row>
    <row r="669" spans="1:14" x14ac:dyDescent="0.25">
      <c r="A669" s="9"/>
      <c r="B669" s="9"/>
      <c r="C669" s="9"/>
      <c r="D669" s="9"/>
    </row>
    <row r="670" spans="1:14" x14ac:dyDescent="0.25">
      <c r="A670" s="9"/>
      <c r="B670" s="9"/>
      <c r="C670" s="9"/>
      <c r="D670" s="9"/>
    </row>
    <row r="671" spans="1:14" x14ac:dyDescent="0.25">
      <c r="A671" s="9"/>
      <c r="B671" s="9"/>
      <c r="C671" s="9"/>
      <c r="D671" s="9"/>
    </row>
    <row r="672" spans="1:14" x14ac:dyDescent="0.25">
      <c r="A672" s="9"/>
      <c r="B672" s="9"/>
      <c r="C672" s="9"/>
      <c r="D672" s="9"/>
    </row>
    <row r="673" spans="1:4" x14ac:dyDescent="0.25">
      <c r="A673" s="9"/>
      <c r="B673" s="9"/>
      <c r="C673" s="9"/>
      <c r="D673" s="9"/>
    </row>
    <row r="674" spans="1:4" x14ac:dyDescent="0.25">
      <c r="A674" s="9"/>
      <c r="B674" s="9"/>
      <c r="C674" s="9"/>
      <c r="D674" s="9"/>
    </row>
    <row r="680" spans="1:4" x14ac:dyDescent="0.25">
      <c r="A680" t="s">
        <v>9</v>
      </c>
    </row>
    <row r="682" spans="1:4" x14ac:dyDescent="0.25">
      <c r="A682" t="s">
        <v>10</v>
      </c>
      <c r="B682" t="s">
        <v>11</v>
      </c>
    </row>
    <row r="690" spans="1:14" ht="15.75" x14ac:dyDescent="0.25">
      <c r="B690" s="4" t="s">
        <v>4</v>
      </c>
      <c r="C690" s="4"/>
    </row>
    <row r="691" spans="1:14" ht="15.75" x14ac:dyDescent="0.25">
      <c r="B691" s="4" t="s">
        <v>5</v>
      </c>
      <c r="C691" s="4"/>
    </row>
    <row r="692" spans="1:14" x14ac:dyDescent="0.25">
      <c r="A692" s="5" t="s">
        <v>25</v>
      </c>
      <c r="B692" s="5"/>
      <c r="C692" s="5"/>
      <c r="D692" s="5"/>
    </row>
    <row r="693" spans="1:14" x14ac:dyDescent="0.25">
      <c r="A693" s="5"/>
      <c r="B693" s="5" t="s">
        <v>6</v>
      </c>
      <c r="C693" s="5"/>
      <c r="D693" s="5"/>
    </row>
    <row r="694" spans="1:14" x14ac:dyDescent="0.25">
      <c r="A694" s="8" t="s">
        <v>41</v>
      </c>
      <c r="B694" s="8" t="s">
        <v>7</v>
      </c>
      <c r="C694" s="6">
        <v>18</v>
      </c>
      <c r="M694">
        <v>1056.2</v>
      </c>
      <c r="N694">
        <v>14.14</v>
      </c>
    </row>
    <row r="695" spans="1:14" x14ac:dyDescent="0.25">
      <c r="K695">
        <f>368795.32-220963.8-12534.67-204.42-24271.56-21211.95</f>
        <v>89608.92</v>
      </c>
      <c r="L695">
        <f>267317.14-161059.26-8338.25-150.15-17830.35-14110.67</f>
        <v>65828.460000000006</v>
      </c>
      <c r="M695">
        <f>M694*N694*6</f>
        <v>89608.008000000002</v>
      </c>
    </row>
    <row r="697" spans="1:14" ht="30" x14ac:dyDescent="0.25">
      <c r="A697" s="1" t="s">
        <v>0</v>
      </c>
      <c r="B697" s="2" t="s">
        <v>1</v>
      </c>
      <c r="C697" s="2" t="s">
        <v>2</v>
      </c>
      <c r="D697" s="2" t="s">
        <v>3</v>
      </c>
    </row>
    <row r="698" spans="1:14" x14ac:dyDescent="0.25">
      <c r="A698" s="3" t="s">
        <v>26</v>
      </c>
      <c r="B698" s="1">
        <f>K515</f>
        <v>66623.34</v>
      </c>
      <c r="C698" s="1">
        <f>L515</f>
        <v>45283.26999999999</v>
      </c>
      <c r="D698" s="10">
        <f>M515</f>
        <v>66622.049999999988</v>
      </c>
    </row>
    <row r="699" spans="1:14" x14ac:dyDescent="0.25">
      <c r="A699" s="14" t="s">
        <v>8</v>
      </c>
      <c r="B699" s="15"/>
      <c r="C699" s="16"/>
      <c r="D699" s="10">
        <f>B698-D698</f>
        <v>1.2900000000081491</v>
      </c>
    </row>
    <row r="701" spans="1:14" x14ac:dyDescent="0.25">
      <c r="A701" s="5" t="s">
        <v>27</v>
      </c>
    </row>
    <row r="703" spans="1:14" x14ac:dyDescent="0.25">
      <c r="A703" s="9" t="s">
        <v>28</v>
      </c>
    </row>
    <row r="704" spans="1:14" x14ac:dyDescent="0.25">
      <c r="A704" s="9" t="s">
        <v>29</v>
      </c>
      <c r="B704" s="9"/>
      <c r="C704" s="9"/>
      <c r="D704" s="9"/>
    </row>
    <row r="705" spans="1:4" x14ac:dyDescent="0.25">
      <c r="A705" s="9" t="s">
        <v>30</v>
      </c>
      <c r="B705" s="9"/>
      <c r="C705" s="9"/>
      <c r="D705" s="9"/>
    </row>
    <row r="706" spans="1:4" x14ac:dyDescent="0.25">
      <c r="A706" s="9" t="s">
        <v>31</v>
      </c>
      <c r="B706" s="9"/>
      <c r="C706" s="9"/>
      <c r="D706" s="9"/>
    </row>
    <row r="707" spans="1:4" x14ac:dyDescent="0.25">
      <c r="A707" s="9" t="s">
        <v>32</v>
      </c>
      <c r="B707" s="9"/>
      <c r="C707" s="9"/>
      <c r="D707" s="9"/>
    </row>
    <row r="708" spans="1:4" x14ac:dyDescent="0.25">
      <c r="A708" s="9" t="s">
        <v>33</v>
      </c>
      <c r="B708" s="9"/>
      <c r="C708" s="9"/>
      <c r="D708" s="9"/>
    </row>
    <row r="709" spans="1:4" x14ac:dyDescent="0.25">
      <c r="A709" s="9" t="s">
        <v>34</v>
      </c>
      <c r="B709" s="9"/>
      <c r="C709" s="9"/>
      <c r="D709" s="9"/>
    </row>
    <row r="710" spans="1:4" x14ac:dyDescent="0.25">
      <c r="A710" s="9" t="s">
        <v>35</v>
      </c>
      <c r="B710" s="9"/>
      <c r="C710" s="9"/>
      <c r="D710" s="9"/>
    </row>
    <row r="711" spans="1:4" x14ac:dyDescent="0.25">
      <c r="A711" s="9" t="s">
        <v>36</v>
      </c>
      <c r="B711" s="9"/>
      <c r="C711" s="9"/>
      <c r="D711" s="9"/>
    </row>
    <row r="712" spans="1:4" x14ac:dyDescent="0.25">
      <c r="A712" s="9" t="s">
        <v>37</v>
      </c>
      <c r="B712" s="9"/>
      <c r="C712" s="9"/>
      <c r="D712" s="9"/>
    </row>
    <row r="713" spans="1:4" x14ac:dyDescent="0.25">
      <c r="A713" s="9" t="s">
        <v>38</v>
      </c>
      <c r="B713" s="9"/>
      <c r="C713" s="9"/>
      <c r="D713" s="9"/>
    </row>
    <row r="714" spans="1:4" x14ac:dyDescent="0.25">
      <c r="A714" s="9" t="s">
        <v>40</v>
      </c>
      <c r="B714" s="9"/>
      <c r="C714" s="9"/>
      <c r="D714" s="9"/>
    </row>
    <row r="715" spans="1:4" x14ac:dyDescent="0.25">
      <c r="A715" s="9" t="s">
        <v>39</v>
      </c>
      <c r="B715" s="9"/>
      <c r="C715" s="9"/>
      <c r="D715" s="9"/>
    </row>
    <row r="716" spans="1:4" x14ac:dyDescent="0.25">
      <c r="A716" s="9"/>
      <c r="B716" s="9"/>
      <c r="C716" s="9"/>
      <c r="D716" s="9"/>
    </row>
    <row r="717" spans="1:4" x14ac:dyDescent="0.25">
      <c r="A717" s="9"/>
      <c r="B717" s="9"/>
      <c r="C717" s="9"/>
      <c r="D717" s="9"/>
    </row>
    <row r="718" spans="1:4" x14ac:dyDescent="0.25">
      <c r="A718" s="9"/>
      <c r="B718" s="9"/>
      <c r="C718" s="9"/>
      <c r="D718" s="9"/>
    </row>
    <row r="719" spans="1:4" x14ac:dyDescent="0.25">
      <c r="A719" s="9"/>
      <c r="B719" s="9"/>
      <c r="C719" s="9"/>
      <c r="D719" s="9"/>
    </row>
    <row r="720" spans="1:4" x14ac:dyDescent="0.25">
      <c r="A720" s="9"/>
      <c r="B720" s="9"/>
      <c r="C720" s="9"/>
      <c r="D720" s="9"/>
    </row>
    <row r="721" spans="1:14" x14ac:dyDescent="0.25">
      <c r="A721" s="9"/>
      <c r="B721" s="9"/>
      <c r="C721" s="9"/>
      <c r="D721" s="9"/>
    </row>
    <row r="722" spans="1:14" x14ac:dyDescent="0.25">
      <c r="A722" s="9"/>
      <c r="B722" s="9"/>
      <c r="C722" s="9"/>
      <c r="D722" s="9"/>
    </row>
    <row r="723" spans="1:14" x14ac:dyDescent="0.25">
      <c r="A723" s="9"/>
      <c r="B723" s="9"/>
      <c r="C723" s="9"/>
      <c r="D723" s="9"/>
    </row>
    <row r="729" spans="1:14" x14ac:dyDescent="0.25">
      <c r="A729" t="s">
        <v>9</v>
      </c>
    </row>
    <row r="730" spans="1:14" x14ac:dyDescent="0.25">
      <c r="M730">
        <v>970.2</v>
      </c>
      <c r="N730">
        <v>14.19</v>
      </c>
    </row>
    <row r="731" spans="1:14" x14ac:dyDescent="0.25">
      <c r="A731" t="s">
        <v>10</v>
      </c>
      <c r="B731" t="s">
        <v>11</v>
      </c>
      <c r="K731">
        <f>372874.22-214744.08-19826.48-202.08-21946.02-33551.52</f>
        <v>82604.039999999979</v>
      </c>
      <c r="L731">
        <f>294451.9-171034.16-14852.65-160.95-17479.03-25134.67</f>
        <v>65790.440000000031</v>
      </c>
      <c r="M731">
        <f>M730*N730*6</f>
        <v>82602.828000000009</v>
      </c>
    </row>
    <row r="739" spans="1:4" ht="15.75" x14ac:dyDescent="0.25">
      <c r="B739" s="4" t="s">
        <v>4</v>
      </c>
      <c r="C739" s="4"/>
    </row>
    <row r="740" spans="1:4" ht="15.75" x14ac:dyDescent="0.25">
      <c r="B740" s="4" t="s">
        <v>5</v>
      </c>
      <c r="C740" s="4"/>
    </row>
    <row r="741" spans="1:4" x14ac:dyDescent="0.25">
      <c r="A741" s="5" t="s">
        <v>25</v>
      </c>
      <c r="B741" s="5"/>
      <c r="C741" s="5"/>
      <c r="D741" s="5"/>
    </row>
    <row r="742" spans="1:4" x14ac:dyDescent="0.25">
      <c r="A742" s="5"/>
      <c r="B742" s="5" t="s">
        <v>6</v>
      </c>
      <c r="C742" s="5"/>
      <c r="D742" s="5"/>
    </row>
    <row r="743" spans="1:4" x14ac:dyDescent="0.25">
      <c r="A743" s="8" t="s">
        <v>41</v>
      </c>
      <c r="B743" s="8" t="s">
        <v>7</v>
      </c>
      <c r="C743" s="6">
        <v>19</v>
      </c>
    </row>
    <row r="746" spans="1:4" ht="30" x14ac:dyDescent="0.25">
      <c r="A746" s="1" t="s">
        <v>0</v>
      </c>
      <c r="B746" s="2" t="s">
        <v>1</v>
      </c>
      <c r="C746" s="2" t="s">
        <v>2</v>
      </c>
      <c r="D746" s="2" t="s">
        <v>3</v>
      </c>
    </row>
    <row r="747" spans="1:4" x14ac:dyDescent="0.25">
      <c r="A747" s="3" t="s">
        <v>26</v>
      </c>
      <c r="B747" s="1">
        <f>K550</f>
        <v>78588.239999999991</v>
      </c>
      <c r="C747" s="1">
        <f>L550</f>
        <v>60815.74</v>
      </c>
      <c r="D747" s="10">
        <f>M550</f>
        <v>78358.224000000017</v>
      </c>
    </row>
    <row r="748" spans="1:4" x14ac:dyDescent="0.25">
      <c r="A748" s="14" t="s">
        <v>8</v>
      </c>
      <c r="B748" s="15"/>
      <c r="C748" s="16"/>
      <c r="D748" s="10">
        <f>B747-D747</f>
        <v>230.01599999997416</v>
      </c>
    </row>
    <row r="750" spans="1:4" x14ac:dyDescent="0.25">
      <c r="A750" s="5" t="s">
        <v>27</v>
      </c>
    </row>
    <row r="752" spans="1:4" x14ac:dyDescent="0.25">
      <c r="A752" s="9" t="s">
        <v>28</v>
      </c>
    </row>
    <row r="753" spans="1:14" x14ac:dyDescent="0.25">
      <c r="A753" s="9" t="s">
        <v>29</v>
      </c>
      <c r="B753" s="9"/>
      <c r="C753" s="9"/>
      <c r="D753" s="9"/>
    </row>
    <row r="754" spans="1:14" x14ac:dyDescent="0.25">
      <c r="A754" s="9" t="s">
        <v>30</v>
      </c>
      <c r="B754" s="9"/>
      <c r="C754" s="9"/>
      <c r="D754" s="9"/>
    </row>
    <row r="755" spans="1:14" x14ac:dyDescent="0.25">
      <c r="A755" s="9" t="s">
        <v>31</v>
      </c>
      <c r="B755" s="9"/>
      <c r="C755" s="9"/>
      <c r="D755" s="9"/>
    </row>
    <row r="756" spans="1:14" x14ac:dyDescent="0.25">
      <c r="A756" s="9" t="s">
        <v>32</v>
      </c>
      <c r="B756" s="9"/>
      <c r="C756" s="9"/>
      <c r="D756" s="9"/>
    </row>
    <row r="757" spans="1:14" x14ac:dyDescent="0.25">
      <c r="A757" s="9" t="s">
        <v>33</v>
      </c>
      <c r="B757" s="9"/>
      <c r="C757" s="9"/>
      <c r="D757" s="9"/>
    </row>
    <row r="758" spans="1:14" x14ac:dyDescent="0.25">
      <c r="A758" s="9" t="s">
        <v>34</v>
      </c>
      <c r="B758" s="9"/>
      <c r="C758" s="9"/>
      <c r="D758" s="9"/>
    </row>
    <row r="759" spans="1:14" x14ac:dyDescent="0.25">
      <c r="A759" s="9" t="s">
        <v>35</v>
      </c>
      <c r="B759" s="9"/>
      <c r="C759" s="9"/>
      <c r="D759" s="9"/>
    </row>
    <row r="760" spans="1:14" x14ac:dyDescent="0.25">
      <c r="A760" s="9" t="s">
        <v>36</v>
      </c>
      <c r="B760" s="9"/>
      <c r="C760" s="9"/>
      <c r="D760" s="9"/>
    </row>
    <row r="761" spans="1:14" x14ac:dyDescent="0.25">
      <c r="A761" s="9" t="s">
        <v>37</v>
      </c>
      <c r="B761" s="9"/>
      <c r="C761" s="9"/>
      <c r="D761" s="9"/>
    </row>
    <row r="762" spans="1:14" x14ac:dyDescent="0.25">
      <c r="A762" s="9" t="s">
        <v>38</v>
      </c>
      <c r="B762" s="9"/>
      <c r="C762" s="9"/>
      <c r="D762" s="9"/>
    </row>
    <row r="763" spans="1:14" x14ac:dyDescent="0.25">
      <c r="A763" s="9" t="s">
        <v>40</v>
      </c>
      <c r="B763" s="9"/>
      <c r="C763" s="9"/>
      <c r="D763" s="9"/>
    </row>
    <row r="764" spans="1:14" x14ac:dyDescent="0.25">
      <c r="A764" s="9" t="s">
        <v>39</v>
      </c>
      <c r="B764" s="9"/>
      <c r="C764" s="9"/>
      <c r="D764" s="9"/>
    </row>
    <row r="765" spans="1:14" x14ac:dyDescent="0.25">
      <c r="A765" s="9"/>
      <c r="B765" s="9"/>
      <c r="C765" s="9"/>
      <c r="D765" s="9"/>
    </row>
    <row r="766" spans="1:14" x14ac:dyDescent="0.25">
      <c r="A766" s="9"/>
      <c r="B766" s="9"/>
      <c r="C766" s="9"/>
      <c r="D766" s="9"/>
    </row>
    <row r="767" spans="1:14" x14ac:dyDescent="0.25">
      <c r="A767" s="9"/>
      <c r="B767" s="9"/>
      <c r="C767" s="9"/>
      <c r="D767" s="9"/>
    </row>
    <row r="768" spans="1:14" x14ac:dyDescent="0.25">
      <c r="A768" s="9"/>
      <c r="B768" s="9"/>
      <c r="C768" s="9"/>
      <c r="D768" s="9"/>
      <c r="M768">
        <v>2052.9</v>
      </c>
      <c r="N768">
        <v>14.19</v>
      </c>
    </row>
    <row r="769" spans="1:13" x14ac:dyDescent="0.25">
      <c r="A769" s="9"/>
      <c r="B769" s="9"/>
      <c r="C769" s="9"/>
      <c r="D769" s="9"/>
      <c r="K769">
        <f>785978.08-454389-41117.73-405.06-45697.74-69582.01</f>
        <v>174786.53999999998</v>
      </c>
      <c r="L769">
        <f>633502.06-366016.5-33264.25-326.28-36810.16-56291.98</f>
        <v>140792.89000000004</v>
      </c>
      <c r="M769">
        <f>M768*N768*6</f>
        <v>174783.90600000002</v>
      </c>
    </row>
    <row r="770" spans="1:13" x14ac:dyDescent="0.25">
      <c r="A770" s="9"/>
      <c r="B770" s="9"/>
      <c r="C770" s="9"/>
      <c r="D770" s="9"/>
    </row>
    <row r="771" spans="1:13" x14ac:dyDescent="0.25">
      <c r="A771" s="9"/>
      <c r="B771" s="9"/>
      <c r="C771" s="9"/>
      <c r="D771" s="9"/>
    </row>
    <row r="772" spans="1:13" x14ac:dyDescent="0.25">
      <c r="A772" s="9"/>
      <c r="B772" s="9"/>
      <c r="C772" s="9"/>
      <c r="D772" s="9"/>
    </row>
    <row r="778" spans="1:13" x14ac:dyDescent="0.25">
      <c r="A778" t="s">
        <v>9</v>
      </c>
    </row>
    <row r="780" spans="1:13" x14ac:dyDescent="0.25">
      <c r="A780" t="s">
        <v>10</v>
      </c>
      <c r="B780" t="s">
        <v>11</v>
      </c>
    </row>
    <row r="788" spans="1:4" ht="15.75" x14ac:dyDescent="0.25">
      <c r="B788" s="4" t="s">
        <v>4</v>
      </c>
      <c r="C788" s="4"/>
    </row>
    <row r="789" spans="1:4" ht="15.75" x14ac:dyDescent="0.25">
      <c r="B789" s="4" t="s">
        <v>5</v>
      </c>
      <c r="C789" s="4"/>
    </row>
    <row r="790" spans="1:4" x14ac:dyDescent="0.25">
      <c r="A790" s="5" t="s">
        <v>25</v>
      </c>
      <c r="B790" s="5"/>
      <c r="C790" s="5"/>
      <c r="D790" s="5"/>
    </row>
    <row r="791" spans="1:4" x14ac:dyDescent="0.25">
      <c r="A791" s="5"/>
      <c r="B791" s="5" t="s">
        <v>6</v>
      </c>
      <c r="C791" s="5"/>
      <c r="D791" s="5"/>
    </row>
    <row r="792" spans="1:4" x14ac:dyDescent="0.25">
      <c r="A792" s="8" t="s">
        <v>41</v>
      </c>
      <c r="B792" s="8" t="s">
        <v>7</v>
      </c>
      <c r="C792" s="6">
        <v>20</v>
      </c>
    </row>
    <row r="795" spans="1:4" ht="30" x14ac:dyDescent="0.25">
      <c r="A795" s="1" t="s">
        <v>0</v>
      </c>
      <c r="B795" s="2" t="s">
        <v>1</v>
      </c>
      <c r="C795" s="2" t="s">
        <v>2</v>
      </c>
      <c r="D795" s="2" t="s">
        <v>3</v>
      </c>
    </row>
    <row r="796" spans="1:4" x14ac:dyDescent="0.25">
      <c r="A796" s="3" t="s">
        <v>26</v>
      </c>
      <c r="B796" s="1">
        <f>K586</f>
        <v>66657.780000000013</v>
      </c>
      <c r="C796" s="1">
        <f>L586</f>
        <v>46704.609999999993</v>
      </c>
      <c r="D796" s="10">
        <f>M586</f>
        <v>66656.106</v>
      </c>
    </row>
    <row r="797" spans="1:4" x14ac:dyDescent="0.25">
      <c r="A797" s="14" t="s">
        <v>8</v>
      </c>
      <c r="B797" s="15"/>
      <c r="C797" s="16"/>
      <c r="D797" s="10">
        <f>B796-D796</f>
        <v>1.6740000000136206</v>
      </c>
    </row>
    <row r="799" spans="1:4" x14ac:dyDescent="0.25">
      <c r="A799" s="5" t="s">
        <v>27</v>
      </c>
    </row>
    <row r="801" spans="1:14" x14ac:dyDescent="0.25">
      <c r="A801" s="9" t="s">
        <v>28</v>
      </c>
    </row>
    <row r="802" spans="1:14" x14ac:dyDescent="0.25">
      <c r="A802" s="9" t="s">
        <v>29</v>
      </c>
      <c r="B802" s="9"/>
      <c r="C802" s="9"/>
      <c r="D802" s="9"/>
    </row>
    <row r="803" spans="1:14" x14ac:dyDescent="0.25">
      <c r="A803" s="9" t="s">
        <v>30</v>
      </c>
      <c r="B803" s="9"/>
      <c r="C803" s="9"/>
      <c r="D803" s="9"/>
    </row>
    <row r="804" spans="1:14" x14ac:dyDescent="0.25">
      <c r="A804" s="9" t="s">
        <v>31</v>
      </c>
      <c r="B804" s="9"/>
      <c r="C804" s="9"/>
      <c r="D804" s="9"/>
      <c r="M804">
        <v>1059.5999999999999</v>
      </c>
      <c r="N804">
        <v>14.19</v>
      </c>
    </row>
    <row r="805" spans="1:14" x14ac:dyDescent="0.25">
      <c r="A805" s="9" t="s">
        <v>32</v>
      </c>
      <c r="B805" s="9"/>
      <c r="C805" s="9"/>
      <c r="D805" s="9"/>
      <c r="K805">
        <f>390657.23-220587.48-20684.25-199.44-23968.08-35002.7</f>
        <v>90215.27999999997</v>
      </c>
      <c r="L805">
        <f>275958.28-155808.87-14297.75-142.39-17110.5-24195.29</f>
        <v>64403.480000000032</v>
      </c>
      <c r="M805">
        <f>M804*N804*6</f>
        <v>90214.343999999983</v>
      </c>
    </row>
    <row r="806" spans="1:14" x14ac:dyDescent="0.25">
      <c r="A806" s="9" t="s">
        <v>33</v>
      </c>
      <c r="B806" s="9"/>
      <c r="C806" s="9"/>
      <c r="D806" s="9"/>
    </row>
    <row r="807" spans="1:14" x14ac:dyDescent="0.25">
      <c r="A807" s="9" t="s">
        <v>34</v>
      </c>
      <c r="B807" s="9"/>
      <c r="C807" s="9"/>
      <c r="D807" s="9"/>
    </row>
    <row r="808" spans="1:14" x14ac:dyDescent="0.25">
      <c r="A808" s="9" t="s">
        <v>35</v>
      </c>
      <c r="B808" s="9"/>
      <c r="C808" s="9"/>
      <c r="D808" s="9"/>
    </row>
    <row r="809" spans="1:14" x14ac:dyDescent="0.25">
      <c r="A809" s="9" t="s">
        <v>36</v>
      </c>
      <c r="B809" s="9"/>
      <c r="C809" s="9"/>
      <c r="D809" s="9"/>
    </row>
    <row r="810" spans="1:14" x14ac:dyDescent="0.25">
      <c r="A810" s="9" t="s">
        <v>37</v>
      </c>
      <c r="B810" s="9"/>
      <c r="C810" s="9"/>
      <c r="D810" s="9"/>
    </row>
    <row r="811" spans="1:14" x14ac:dyDescent="0.25">
      <c r="A811" s="9" t="s">
        <v>38</v>
      </c>
      <c r="B811" s="9"/>
      <c r="C811" s="9"/>
      <c r="D811" s="9"/>
    </row>
    <row r="812" spans="1:14" x14ac:dyDescent="0.25">
      <c r="A812" s="9" t="s">
        <v>40</v>
      </c>
      <c r="B812" s="9"/>
      <c r="C812" s="9"/>
      <c r="D812" s="9"/>
    </row>
    <row r="813" spans="1:14" x14ac:dyDescent="0.25">
      <c r="A813" s="9" t="s">
        <v>39</v>
      </c>
      <c r="B813" s="9"/>
      <c r="C813" s="9"/>
      <c r="D813" s="9"/>
    </row>
    <row r="814" spans="1:14" x14ac:dyDescent="0.25">
      <c r="A814" s="9"/>
      <c r="B814" s="9"/>
      <c r="C814" s="9"/>
      <c r="D814" s="9"/>
    </row>
    <row r="815" spans="1:14" x14ac:dyDescent="0.25">
      <c r="A815" s="9"/>
      <c r="B815" s="9"/>
      <c r="C815" s="9"/>
      <c r="D815" s="9"/>
    </row>
    <row r="816" spans="1:14" x14ac:dyDescent="0.25">
      <c r="A816" s="9"/>
      <c r="B816" s="9"/>
      <c r="C816" s="9"/>
      <c r="D816" s="9"/>
    </row>
    <row r="817" spans="1:4" x14ac:dyDescent="0.25">
      <c r="A817" s="9"/>
      <c r="B817" s="9"/>
      <c r="C817" s="9"/>
      <c r="D817" s="9"/>
    </row>
    <row r="818" spans="1:4" x14ac:dyDescent="0.25">
      <c r="A818" s="9"/>
      <c r="B818" s="9"/>
      <c r="C818" s="9"/>
      <c r="D818" s="9"/>
    </row>
    <row r="819" spans="1:4" x14ac:dyDescent="0.25">
      <c r="A819" s="9"/>
      <c r="B819" s="9"/>
      <c r="C819" s="9"/>
      <c r="D819" s="9"/>
    </row>
    <row r="820" spans="1:4" x14ac:dyDescent="0.25">
      <c r="A820" s="9"/>
      <c r="B820" s="9"/>
      <c r="C820" s="9"/>
      <c r="D820" s="9"/>
    </row>
    <row r="821" spans="1:4" x14ac:dyDescent="0.25">
      <c r="A821" s="9"/>
      <c r="B821" s="9"/>
      <c r="C821" s="9"/>
      <c r="D821" s="9"/>
    </row>
    <row r="827" spans="1:4" x14ac:dyDescent="0.25">
      <c r="A827" t="s">
        <v>9</v>
      </c>
    </row>
    <row r="829" spans="1:4" x14ac:dyDescent="0.25">
      <c r="A829" t="s">
        <v>10</v>
      </c>
      <c r="B829" t="s">
        <v>11</v>
      </c>
    </row>
    <row r="837" spans="1:4" ht="15.75" x14ac:dyDescent="0.25">
      <c r="B837" s="4" t="s">
        <v>4</v>
      </c>
      <c r="C837" s="4"/>
    </row>
    <row r="838" spans="1:4" ht="15.75" x14ac:dyDescent="0.25">
      <c r="B838" s="4" t="s">
        <v>5</v>
      </c>
      <c r="C838" s="4"/>
    </row>
    <row r="839" spans="1:4" x14ac:dyDescent="0.25">
      <c r="A839" s="5" t="s">
        <v>25</v>
      </c>
      <c r="B839" s="5"/>
      <c r="C839" s="5"/>
      <c r="D839" s="5"/>
    </row>
    <row r="840" spans="1:4" x14ac:dyDescent="0.25">
      <c r="A840" s="5"/>
      <c r="B840" s="5" t="s">
        <v>6</v>
      </c>
      <c r="C840" s="5"/>
      <c r="D840" s="5"/>
    </row>
    <row r="841" spans="1:4" x14ac:dyDescent="0.25">
      <c r="A841" s="8" t="s">
        <v>41</v>
      </c>
      <c r="B841" s="8" t="s">
        <v>7</v>
      </c>
      <c r="C841" s="6">
        <v>22</v>
      </c>
    </row>
    <row r="844" spans="1:4" ht="30" x14ac:dyDescent="0.25">
      <c r="A844" s="1" t="s">
        <v>0</v>
      </c>
      <c r="B844" s="2" t="s">
        <v>1</v>
      </c>
      <c r="C844" s="2" t="s">
        <v>2</v>
      </c>
      <c r="D844" s="2" t="s">
        <v>3</v>
      </c>
    </row>
    <row r="845" spans="1:4" x14ac:dyDescent="0.25">
      <c r="A845" s="3" t="s">
        <v>26</v>
      </c>
      <c r="B845" s="1">
        <f>K621</f>
        <v>68062.440000000031</v>
      </c>
      <c r="C845" s="1">
        <f>L621</f>
        <v>47430.640000000014</v>
      </c>
      <c r="D845" s="10">
        <f>M621</f>
        <v>68060.915999999997</v>
      </c>
    </row>
    <row r="846" spans="1:4" x14ac:dyDescent="0.25">
      <c r="A846" s="14" t="s">
        <v>8</v>
      </c>
      <c r="B846" s="15"/>
      <c r="C846" s="16"/>
      <c r="D846" s="10">
        <f>B845-D845</f>
        <v>1.5240000000339933</v>
      </c>
    </row>
    <row r="848" spans="1:4" x14ac:dyDescent="0.25">
      <c r="A848" s="5" t="s">
        <v>27</v>
      </c>
    </row>
    <row r="850" spans="1:4" x14ac:dyDescent="0.25">
      <c r="A850" s="9" t="s">
        <v>28</v>
      </c>
    </row>
    <row r="851" spans="1:4" x14ac:dyDescent="0.25">
      <c r="A851" s="9" t="s">
        <v>29</v>
      </c>
      <c r="B851" s="9"/>
      <c r="C851" s="9"/>
      <c r="D851" s="9"/>
    </row>
    <row r="852" spans="1:4" x14ac:dyDescent="0.25">
      <c r="A852" s="9" t="s">
        <v>30</v>
      </c>
      <c r="B852" s="9"/>
      <c r="C852" s="9"/>
      <c r="D852" s="9"/>
    </row>
    <row r="853" spans="1:4" x14ac:dyDescent="0.25">
      <c r="A853" s="9" t="s">
        <v>31</v>
      </c>
      <c r="B853" s="9"/>
      <c r="C853" s="9"/>
      <c r="D853" s="9"/>
    </row>
    <row r="854" spans="1:4" x14ac:dyDescent="0.25">
      <c r="A854" s="9" t="s">
        <v>32</v>
      </c>
      <c r="B854" s="9"/>
      <c r="C854" s="9"/>
      <c r="D854" s="9"/>
    </row>
    <row r="855" spans="1:4" x14ac:dyDescent="0.25">
      <c r="A855" s="9" t="s">
        <v>33</v>
      </c>
      <c r="B855" s="9"/>
      <c r="C855" s="9"/>
      <c r="D855" s="9"/>
    </row>
    <row r="856" spans="1:4" x14ac:dyDescent="0.25">
      <c r="A856" s="9" t="s">
        <v>34</v>
      </c>
      <c r="B856" s="9"/>
      <c r="C856" s="9"/>
      <c r="D856" s="9"/>
    </row>
    <row r="857" spans="1:4" x14ac:dyDescent="0.25">
      <c r="A857" s="9" t="s">
        <v>35</v>
      </c>
      <c r="B857" s="9"/>
      <c r="C857" s="9"/>
      <c r="D857" s="9"/>
    </row>
    <row r="858" spans="1:4" x14ac:dyDescent="0.25">
      <c r="A858" s="9" t="s">
        <v>36</v>
      </c>
      <c r="B858" s="9"/>
      <c r="C858" s="9"/>
      <c r="D858" s="9"/>
    </row>
    <row r="859" spans="1:4" x14ac:dyDescent="0.25">
      <c r="A859" s="9" t="s">
        <v>37</v>
      </c>
      <c r="B859" s="9"/>
      <c r="C859" s="9"/>
      <c r="D859" s="9"/>
    </row>
    <row r="860" spans="1:4" x14ac:dyDescent="0.25">
      <c r="A860" s="9" t="s">
        <v>38</v>
      </c>
      <c r="B860" s="9"/>
      <c r="C860" s="9"/>
      <c r="D860" s="9"/>
    </row>
    <row r="861" spans="1:4" x14ac:dyDescent="0.25">
      <c r="A861" s="9" t="s">
        <v>40</v>
      </c>
      <c r="B861" s="9"/>
      <c r="C861" s="9"/>
      <c r="D861" s="9"/>
    </row>
    <row r="862" spans="1:4" x14ac:dyDescent="0.25">
      <c r="A862" s="9" t="s">
        <v>39</v>
      </c>
      <c r="B862" s="9"/>
      <c r="C862" s="9"/>
      <c r="D862" s="9"/>
    </row>
    <row r="863" spans="1:4" x14ac:dyDescent="0.25">
      <c r="A863" s="9"/>
      <c r="B863" s="9"/>
      <c r="C863" s="9"/>
      <c r="D863" s="9"/>
    </row>
    <row r="864" spans="1:4" x14ac:dyDescent="0.25">
      <c r="A864" s="9"/>
      <c r="B864" s="9"/>
      <c r="C864" s="9"/>
      <c r="D864" s="9"/>
    </row>
    <row r="865" spans="1:4" x14ac:dyDescent="0.25">
      <c r="A865" s="9"/>
      <c r="B865" s="9"/>
      <c r="C865" s="9"/>
      <c r="D865" s="9"/>
    </row>
    <row r="866" spans="1:4" x14ac:dyDescent="0.25">
      <c r="A866" s="9"/>
      <c r="B866" s="9"/>
      <c r="C866" s="9"/>
      <c r="D866" s="9"/>
    </row>
    <row r="867" spans="1:4" x14ac:dyDescent="0.25">
      <c r="A867" s="9"/>
      <c r="B867" s="9"/>
      <c r="C867" s="9"/>
      <c r="D867" s="9"/>
    </row>
    <row r="868" spans="1:4" x14ac:dyDescent="0.25">
      <c r="A868" s="9"/>
      <c r="B868" s="9"/>
      <c r="C868" s="9"/>
      <c r="D868" s="9"/>
    </row>
    <row r="869" spans="1:4" x14ac:dyDescent="0.25">
      <c r="A869" s="9"/>
      <c r="B869" s="9"/>
      <c r="C869" s="9"/>
      <c r="D869" s="9"/>
    </row>
    <row r="870" spans="1:4" x14ac:dyDescent="0.25">
      <c r="A870" s="9"/>
      <c r="B870" s="9"/>
      <c r="C870" s="9"/>
      <c r="D870" s="9"/>
    </row>
    <row r="876" spans="1:4" x14ac:dyDescent="0.25">
      <c r="A876" t="s">
        <v>9</v>
      </c>
    </row>
    <row r="878" spans="1:4" x14ac:dyDescent="0.25">
      <c r="A878" t="s">
        <v>10</v>
      </c>
      <c r="B878" t="s">
        <v>11</v>
      </c>
    </row>
    <row r="886" spans="1:4" ht="15.75" x14ac:dyDescent="0.25">
      <c r="B886" s="4" t="s">
        <v>4</v>
      </c>
      <c r="C886" s="4"/>
    </row>
    <row r="887" spans="1:4" ht="15.75" x14ac:dyDescent="0.25">
      <c r="B887" s="4" t="s">
        <v>5</v>
      </c>
      <c r="C887" s="4"/>
    </row>
    <row r="888" spans="1:4" x14ac:dyDescent="0.25">
      <c r="A888" s="5" t="s">
        <v>25</v>
      </c>
      <c r="B888" s="5"/>
      <c r="C888" s="5"/>
      <c r="D888" s="5"/>
    </row>
    <row r="889" spans="1:4" x14ac:dyDescent="0.25">
      <c r="A889" s="5"/>
      <c r="B889" s="5" t="s">
        <v>6</v>
      </c>
      <c r="C889" s="5"/>
      <c r="D889" s="5"/>
    </row>
    <row r="890" spans="1:4" x14ac:dyDescent="0.25">
      <c r="A890" s="8" t="s">
        <v>41</v>
      </c>
      <c r="B890" s="8" t="s">
        <v>7</v>
      </c>
      <c r="C890" s="6">
        <v>24</v>
      </c>
    </row>
    <row r="893" spans="1:4" ht="30" x14ac:dyDescent="0.25">
      <c r="A893" s="1" t="s">
        <v>0</v>
      </c>
      <c r="B893" s="2" t="s">
        <v>1</v>
      </c>
      <c r="C893" s="2" t="s">
        <v>2</v>
      </c>
      <c r="D893" s="2" t="s">
        <v>3</v>
      </c>
    </row>
    <row r="894" spans="1:4" x14ac:dyDescent="0.25">
      <c r="A894" s="3" t="s">
        <v>26</v>
      </c>
      <c r="B894" s="1">
        <f>K658</f>
        <v>74737.62</v>
      </c>
      <c r="C894" s="1">
        <f>L658</f>
        <v>57814.200000000019</v>
      </c>
      <c r="D894" s="10">
        <f>M658</f>
        <v>74795.489999999991</v>
      </c>
    </row>
    <row r="895" spans="1:4" x14ac:dyDescent="0.25">
      <c r="A895" s="14" t="s">
        <v>12</v>
      </c>
      <c r="B895" s="15"/>
      <c r="C895" s="16"/>
      <c r="D895" s="10">
        <f>B894-D894</f>
        <v>-57.869999999995343</v>
      </c>
    </row>
    <row r="897" spans="1:4" x14ac:dyDescent="0.25">
      <c r="A897" s="5" t="s">
        <v>27</v>
      </c>
    </row>
    <row r="899" spans="1:4" x14ac:dyDescent="0.25">
      <c r="A899" s="9" t="s">
        <v>28</v>
      </c>
    </row>
    <row r="900" spans="1:4" x14ac:dyDescent="0.25">
      <c r="A900" s="9" t="s">
        <v>29</v>
      </c>
      <c r="B900" s="9"/>
      <c r="C900" s="9"/>
      <c r="D900" s="9"/>
    </row>
    <row r="901" spans="1:4" x14ac:dyDescent="0.25">
      <c r="A901" s="9" t="s">
        <v>30</v>
      </c>
      <c r="B901" s="9"/>
      <c r="C901" s="9"/>
      <c r="D901" s="9"/>
    </row>
    <row r="902" spans="1:4" x14ac:dyDescent="0.25">
      <c r="A902" s="9" t="s">
        <v>31</v>
      </c>
      <c r="B902" s="9"/>
      <c r="C902" s="9"/>
      <c r="D902" s="9"/>
    </row>
    <row r="903" spans="1:4" x14ac:dyDescent="0.25">
      <c r="A903" s="9" t="s">
        <v>32</v>
      </c>
      <c r="B903" s="9"/>
      <c r="C903" s="9"/>
      <c r="D903" s="9"/>
    </row>
    <row r="904" spans="1:4" x14ac:dyDescent="0.25">
      <c r="A904" s="9" t="s">
        <v>33</v>
      </c>
      <c r="B904" s="9"/>
      <c r="C904" s="9"/>
      <c r="D904" s="9"/>
    </row>
    <row r="905" spans="1:4" x14ac:dyDescent="0.25">
      <c r="A905" s="9" t="s">
        <v>34</v>
      </c>
      <c r="B905" s="9"/>
      <c r="C905" s="9"/>
      <c r="D905" s="9"/>
    </row>
    <row r="906" spans="1:4" x14ac:dyDescent="0.25">
      <c r="A906" s="9" t="s">
        <v>35</v>
      </c>
      <c r="B906" s="9"/>
      <c r="C906" s="9"/>
      <c r="D906" s="9"/>
    </row>
    <row r="907" spans="1:4" x14ac:dyDescent="0.25">
      <c r="A907" s="9" t="s">
        <v>36</v>
      </c>
      <c r="B907" s="9"/>
      <c r="C907" s="9"/>
      <c r="D907" s="9"/>
    </row>
    <row r="908" spans="1:4" x14ac:dyDescent="0.25">
      <c r="A908" s="9" t="s">
        <v>37</v>
      </c>
      <c r="B908" s="9"/>
      <c r="C908" s="9"/>
      <c r="D908" s="9"/>
    </row>
    <row r="909" spans="1:4" x14ac:dyDescent="0.25">
      <c r="A909" s="9" t="s">
        <v>38</v>
      </c>
      <c r="B909" s="9"/>
      <c r="C909" s="9"/>
      <c r="D909" s="9"/>
    </row>
    <row r="910" spans="1:4" x14ac:dyDescent="0.25">
      <c r="A910" s="9" t="s">
        <v>40</v>
      </c>
      <c r="B910" s="9"/>
      <c r="C910" s="9"/>
      <c r="D910" s="9"/>
    </row>
    <row r="911" spans="1:4" x14ac:dyDescent="0.25">
      <c r="A911" s="9" t="s">
        <v>39</v>
      </c>
      <c r="B911" s="9"/>
      <c r="C911" s="9"/>
      <c r="D911" s="9"/>
    </row>
    <row r="912" spans="1:4" x14ac:dyDescent="0.25">
      <c r="A912" s="9"/>
      <c r="B912" s="9"/>
      <c r="C912" s="9"/>
      <c r="D912" s="9"/>
    </row>
    <row r="913" spans="1:4" x14ac:dyDescent="0.25">
      <c r="A913" s="9"/>
      <c r="B913" s="9"/>
      <c r="C913" s="9"/>
      <c r="D913" s="9"/>
    </row>
    <row r="914" spans="1:4" x14ac:dyDescent="0.25">
      <c r="A914" s="9"/>
      <c r="B914" s="9"/>
      <c r="C914" s="9"/>
      <c r="D914" s="9"/>
    </row>
    <row r="915" spans="1:4" x14ac:dyDescent="0.25">
      <c r="A915" s="9"/>
      <c r="B915" s="9"/>
      <c r="C915" s="9"/>
      <c r="D915" s="9"/>
    </row>
    <row r="916" spans="1:4" x14ac:dyDescent="0.25">
      <c r="A916" s="9"/>
      <c r="B916" s="9"/>
      <c r="C916" s="9"/>
      <c r="D916" s="9"/>
    </row>
    <row r="917" spans="1:4" x14ac:dyDescent="0.25">
      <c r="A917" s="9"/>
      <c r="B917" s="9"/>
      <c r="C917" s="9"/>
      <c r="D917" s="9"/>
    </row>
    <row r="918" spans="1:4" x14ac:dyDescent="0.25">
      <c r="A918" s="9"/>
      <c r="B918" s="9"/>
      <c r="C918" s="9"/>
      <c r="D918" s="9"/>
    </row>
    <row r="919" spans="1:4" x14ac:dyDescent="0.25">
      <c r="A919" s="9"/>
      <c r="B919" s="9"/>
      <c r="C919" s="9"/>
      <c r="D919" s="9"/>
    </row>
    <row r="925" spans="1:4" x14ac:dyDescent="0.25">
      <c r="A925" t="s">
        <v>9</v>
      </c>
    </row>
    <row r="927" spans="1:4" x14ac:dyDescent="0.25">
      <c r="A927" t="s">
        <v>10</v>
      </c>
      <c r="B927" t="s">
        <v>11</v>
      </c>
    </row>
    <row r="935" spans="1:4" ht="15.75" x14ac:dyDescent="0.25">
      <c r="B935" s="4" t="s">
        <v>4</v>
      </c>
      <c r="C935" s="4"/>
    </row>
    <row r="936" spans="1:4" ht="15.75" x14ac:dyDescent="0.25">
      <c r="B936" s="4" t="s">
        <v>5</v>
      </c>
      <c r="C936" s="4"/>
    </row>
    <row r="937" spans="1:4" x14ac:dyDescent="0.25">
      <c r="A937" s="5" t="s">
        <v>25</v>
      </c>
      <c r="B937" s="5"/>
      <c r="C937" s="5"/>
      <c r="D937" s="5"/>
    </row>
    <row r="938" spans="1:4" x14ac:dyDescent="0.25">
      <c r="A938" s="5"/>
      <c r="B938" s="5" t="s">
        <v>6</v>
      </c>
      <c r="C938" s="5"/>
      <c r="D938" s="5"/>
    </row>
    <row r="939" spans="1:4" x14ac:dyDescent="0.25">
      <c r="A939" s="8" t="s">
        <v>41</v>
      </c>
      <c r="B939" s="8" t="s">
        <v>7</v>
      </c>
      <c r="C939" s="6">
        <v>26</v>
      </c>
    </row>
    <row r="942" spans="1:4" ht="30" x14ac:dyDescent="0.25">
      <c r="A942" s="1" t="s">
        <v>0</v>
      </c>
      <c r="B942" s="2" t="s">
        <v>1</v>
      </c>
      <c r="C942" s="2" t="s">
        <v>2</v>
      </c>
      <c r="D942" s="2" t="s">
        <v>3</v>
      </c>
    </row>
    <row r="943" spans="1:4" x14ac:dyDescent="0.25">
      <c r="A943" s="3" t="s">
        <v>26</v>
      </c>
      <c r="B943" s="1">
        <f>K695</f>
        <v>89608.92</v>
      </c>
      <c r="C943" s="1">
        <f>L695</f>
        <v>65828.460000000006</v>
      </c>
      <c r="D943" s="10">
        <f>M695</f>
        <v>89608.008000000002</v>
      </c>
    </row>
    <row r="944" spans="1:4" x14ac:dyDescent="0.25">
      <c r="A944" s="14" t="s">
        <v>8</v>
      </c>
      <c r="B944" s="15"/>
      <c r="C944" s="16"/>
      <c r="D944" s="10">
        <f>B943-D943</f>
        <v>0.91199999999662396</v>
      </c>
    </row>
    <row r="946" spans="1:4" x14ac:dyDescent="0.25">
      <c r="A946" s="5" t="s">
        <v>27</v>
      </c>
    </row>
    <row r="948" spans="1:4" x14ac:dyDescent="0.25">
      <c r="A948" s="9" t="s">
        <v>28</v>
      </c>
    </row>
    <row r="949" spans="1:4" x14ac:dyDescent="0.25">
      <c r="A949" s="9" t="s">
        <v>29</v>
      </c>
      <c r="B949" s="9"/>
      <c r="C949" s="9"/>
      <c r="D949" s="9"/>
    </row>
    <row r="950" spans="1:4" x14ac:dyDescent="0.25">
      <c r="A950" s="9" t="s">
        <v>30</v>
      </c>
      <c r="B950" s="9"/>
      <c r="C950" s="9"/>
      <c r="D950" s="9"/>
    </row>
    <row r="951" spans="1:4" x14ac:dyDescent="0.25">
      <c r="A951" s="9" t="s">
        <v>31</v>
      </c>
      <c r="B951" s="9"/>
      <c r="C951" s="9"/>
      <c r="D951" s="9"/>
    </row>
    <row r="952" spans="1:4" x14ac:dyDescent="0.25">
      <c r="A952" s="9" t="s">
        <v>32</v>
      </c>
      <c r="B952" s="9"/>
      <c r="C952" s="9"/>
      <c r="D952" s="9"/>
    </row>
    <row r="953" spans="1:4" x14ac:dyDescent="0.25">
      <c r="A953" s="9" t="s">
        <v>33</v>
      </c>
      <c r="B953" s="9"/>
      <c r="C953" s="9"/>
      <c r="D953" s="9"/>
    </row>
    <row r="954" spans="1:4" x14ac:dyDescent="0.25">
      <c r="A954" s="9" t="s">
        <v>34</v>
      </c>
      <c r="B954" s="9"/>
      <c r="C954" s="9"/>
      <c r="D954" s="9"/>
    </row>
    <row r="955" spans="1:4" x14ac:dyDescent="0.25">
      <c r="A955" s="9" t="s">
        <v>35</v>
      </c>
      <c r="B955" s="9"/>
      <c r="C955" s="9"/>
      <c r="D955" s="9"/>
    </row>
    <row r="956" spans="1:4" x14ac:dyDescent="0.25">
      <c r="A956" s="9" t="s">
        <v>36</v>
      </c>
      <c r="B956" s="9"/>
      <c r="C956" s="9"/>
      <c r="D956" s="9"/>
    </row>
    <row r="957" spans="1:4" x14ac:dyDescent="0.25">
      <c r="A957" s="9" t="s">
        <v>37</v>
      </c>
      <c r="B957" s="9"/>
      <c r="C957" s="9"/>
      <c r="D957" s="9"/>
    </row>
    <row r="958" spans="1:4" x14ac:dyDescent="0.25">
      <c r="A958" s="9" t="s">
        <v>38</v>
      </c>
      <c r="B958" s="9"/>
      <c r="C958" s="9"/>
      <c r="D958" s="9"/>
    </row>
    <row r="959" spans="1:4" x14ac:dyDescent="0.25">
      <c r="A959" s="9" t="s">
        <v>40</v>
      </c>
      <c r="B959" s="9"/>
      <c r="C959" s="9"/>
      <c r="D959" s="9"/>
    </row>
    <row r="960" spans="1:4" x14ac:dyDescent="0.25">
      <c r="A960" s="9" t="s">
        <v>39</v>
      </c>
      <c r="B960" s="9"/>
      <c r="C960" s="9"/>
      <c r="D960" s="9"/>
    </row>
    <row r="961" spans="1:4" x14ac:dyDescent="0.25">
      <c r="A961" s="9"/>
      <c r="B961" s="9"/>
      <c r="C961" s="9"/>
      <c r="D961" s="9"/>
    </row>
    <row r="962" spans="1:4" x14ac:dyDescent="0.25">
      <c r="A962" s="9"/>
      <c r="B962" s="9"/>
      <c r="C962" s="9"/>
      <c r="D962" s="9"/>
    </row>
    <row r="963" spans="1:4" x14ac:dyDescent="0.25">
      <c r="A963" s="9"/>
      <c r="B963" s="9"/>
      <c r="C963" s="9"/>
      <c r="D963" s="9"/>
    </row>
    <row r="964" spans="1:4" x14ac:dyDescent="0.25">
      <c r="A964" s="9"/>
      <c r="B964" s="9"/>
      <c r="C964" s="9"/>
      <c r="D964" s="9"/>
    </row>
    <row r="965" spans="1:4" x14ac:dyDescent="0.25">
      <c r="A965" s="9"/>
      <c r="B965" s="9"/>
      <c r="C965" s="9"/>
      <c r="D965" s="9"/>
    </row>
    <row r="966" spans="1:4" x14ac:dyDescent="0.25">
      <c r="A966" s="9"/>
      <c r="B966" s="9"/>
      <c r="C966" s="9"/>
      <c r="D966" s="9"/>
    </row>
    <row r="967" spans="1:4" x14ac:dyDescent="0.25">
      <c r="A967" s="9"/>
      <c r="B967" s="9"/>
      <c r="C967" s="9"/>
      <c r="D967" s="9"/>
    </row>
    <row r="968" spans="1:4" x14ac:dyDescent="0.25">
      <c r="A968" s="9"/>
      <c r="B968" s="9"/>
      <c r="C968" s="9"/>
      <c r="D968" s="9"/>
    </row>
    <row r="974" spans="1:4" x14ac:dyDescent="0.25">
      <c r="A974" t="s">
        <v>9</v>
      </c>
    </row>
    <row r="976" spans="1:4" x14ac:dyDescent="0.25">
      <c r="A976" t="s">
        <v>10</v>
      </c>
      <c r="B976" t="s">
        <v>11</v>
      </c>
    </row>
    <row r="984" spans="1:4" ht="15.75" x14ac:dyDescent="0.25">
      <c r="B984" s="4" t="s">
        <v>4</v>
      </c>
      <c r="C984" s="4"/>
    </row>
    <row r="985" spans="1:4" ht="15.75" x14ac:dyDescent="0.25">
      <c r="B985" s="4" t="s">
        <v>5</v>
      </c>
      <c r="C985" s="4"/>
    </row>
    <row r="986" spans="1:4" x14ac:dyDescent="0.25">
      <c r="A986" s="5" t="s">
        <v>25</v>
      </c>
      <c r="B986" s="5"/>
      <c r="C986" s="5"/>
      <c r="D986" s="5"/>
    </row>
    <row r="987" spans="1:4" x14ac:dyDescent="0.25">
      <c r="A987" s="5"/>
      <c r="B987" s="5" t="s">
        <v>6</v>
      </c>
      <c r="C987" s="5"/>
      <c r="D987" s="5"/>
    </row>
    <row r="988" spans="1:4" x14ac:dyDescent="0.25">
      <c r="A988" s="8" t="s">
        <v>41</v>
      </c>
      <c r="B988" s="8" t="s">
        <v>7</v>
      </c>
      <c r="C988" s="6">
        <v>28</v>
      </c>
    </row>
    <row r="991" spans="1:4" ht="30" x14ac:dyDescent="0.25">
      <c r="A991" s="1" t="s">
        <v>0</v>
      </c>
      <c r="B991" s="2" t="s">
        <v>1</v>
      </c>
      <c r="C991" s="2" t="s">
        <v>2</v>
      </c>
      <c r="D991" s="2" t="s">
        <v>3</v>
      </c>
    </row>
    <row r="992" spans="1:4" x14ac:dyDescent="0.25">
      <c r="A992" s="3" t="s">
        <v>26</v>
      </c>
      <c r="B992" s="1">
        <f>K731</f>
        <v>82604.039999999979</v>
      </c>
      <c r="C992" s="1">
        <f>L731</f>
        <v>65790.440000000031</v>
      </c>
      <c r="D992" s="10">
        <f>M731</f>
        <v>82602.828000000009</v>
      </c>
    </row>
    <row r="993" spans="1:4" x14ac:dyDescent="0.25">
      <c r="A993" s="14" t="s">
        <v>8</v>
      </c>
      <c r="B993" s="15"/>
      <c r="C993" s="16"/>
      <c r="D993" s="10">
        <f>B992-D992</f>
        <v>1.2119999999704305</v>
      </c>
    </row>
    <row r="995" spans="1:4" x14ac:dyDescent="0.25">
      <c r="A995" s="5" t="s">
        <v>27</v>
      </c>
    </row>
    <row r="997" spans="1:4" x14ac:dyDescent="0.25">
      <c r="A997" s="9" t="s">
        <v>28</v>
      </c>
    </row>
    <row r="998" spans="1:4" x14ac:dyDescent="0.25">
      <c r="A998" s="9" t="s">
        <v>29</v>
      </c>
      <c r="B998" s="9"/>
      <c r="C998" s="9"/>
      <c r="D998" s="9"/>
    </row>
    <row r="999" spans="1:4" x14ac:dyDescent="0.25">
      <c r="A999" s="9" t="s">
        <v>30</v>
      </c>
      <c r="B999" s="9"/>
      <c r="C999" s="9"/>
      <c r="D999" s="9"/>
    </row>
    <row r="1000" spans="1:4" x14ac:dyDescent="0.25">
      <c r="A1000" s="9" t="s">
        <v>31</v>
      </c>
      <c r="B1000" s="9"/>
      <c r="C1000" s="9"/>
      <c r="D1000" s="9"/>
    </row>
    <row r="1001" spans="1:4" x14ac:dyDescent="0.25">
      <c r="A1001" s="9" t="s">
        <v>32</v>
      </c>
      <c r="B1001" s="9"/>
      <c r="C1001" s="9"/>
      <c r="D1001" s="9"/>
    </row>
    <row r="1002" spans="1:4" x14ac:dyDescent="0.25">
      <c r="A1002" s="9" t="s">
        <v>33</v>
      </c>
      <c r="B1002" s="9"/>
      <c r="C1002" s="9"/>
      <c r="D1002" s="9"/>
    </row>
    <row r="1003" spans="1:4" x14ac:dyDescent="0.25">
      <c r="A1003" s="9" t="s">
        <v>34</v>
      </c>
      <c r="B1003" s="9"/>
      <c r="C1003" s="9"/>
      <c r="D1003" s="9"/>
    </row>
    <row r="1004" spans="1:4" x14ac:dyDescent="0.25">
      <c r="A1004" s="9" t="s">
        <v>35</v>
      </c>
      <c r="B1004" s="9"/>
      <c r="C1004" s="9"/>
      <c r="D1004" s="9"/>
    </row>
    <row r="1005" spans="1:4" x14ac:dyDescent="0.25">
      <c r="A1005" s="9" t="s">
        <v>36</v>
      </c>
      <c r="B1005" s="9"/>
      <c r="C1005" s="9"/>
      <c r="D1005" s="9"/>
    </row>
    <row r="1006" spans="1:4" x14ac:dyDescent="0.25">
      <c r="A1006" s="9" t="s">
        <v>37</v>
      </c>
      <c r="B1006" s="9"/>
      <c r="C1006" s="9"/>
      <c r="D1006" s="9"/>
    </row>
    <row r="1007" spans="1:4" x14ac:dyDescent="0.25">
      <c r="A1007" s="9" t="s">
        <v>38</v>
      </c>
      <c r="B1007" s="9"/>
      <c r="C1007" s="9"/>
      <c r="D1007" s="9"/>
    </row>
    <row r="1008" spans="1:4" x14ac:dyDescent="0.25">
      <c r="A1008" s="9" t="s">
        <v>40</v>
      </c>
      <c r="B1008" s="9"/>
      <c r="C1008" s="9"/>
      <c r="D1008" s="9"/>
    </row>
    <row r="1009" spans="1:4" x14ac:dyDescent="0.25">
      <c r="A1009" s="9" t="s">
        <v>39</v>
      </c>
      <c r="B1009" s="9"/>
      <c r="C1009" s="9"/>
      <c r="D1009" s="9"/>
    </row>
    <row r="1010" spans="1:4" x14ac:dyDescent="0.25">
      <c r="A1010" s="9"/>
      <c r="B1010" s="9"/>
      <c r="C1010" s="9"/>
      <c r="D1010" s="9"/>
    </row>
    <row r="1011" spans="1:4" x14ac:dyDescent="0.25">
      <c r="A1011" s="9"/>
      <c r="B1011" s="9"/>
      <c r="C1011" s="9"/>
      <c r="D1011" s="9"/>
    </row>
    <row r="1012" spans="1:4" x14ac:dyDescent="0.25">
      <c r="A1012" s="9"/>
      <c r="B1012" s="9"/>
      <c r="C1012" s="9"/>
      <c r="D1012" s="9"/>
    </row>
    <row r="1013" spans="1:4" x14ac:dyDescent="0.25">
      <c r="A1013" s="9"/>
      <c r="B1013" s="9"/>
      <c r="C1013" s="9"/>
      <c r="D1013" s="9"/>
    </row>
    <row r="1014" spans="1:4" x14ac:dyDescent="0.25">
      <c r="A1014" s="9"/>
      <c r="B1014" s="9"/>
      <c r="C1014" s="9"/>
      <c r="D1014" s="9"/>
    </row>
    <row r="1015" spans="1:4" x14ac:dyDescent="0.25">
      <c r="A1015" s="9"/>
      <c r="B1015" s="9"/>
      <c r="C1015" s="9"/>
      <c r="D1015" s="9"/>
    </row>
    <row r="1016" spans="1:4" x14ac:dyDescent="0.25">
      <c r="A1016" s="9"/>
      <c r="B1016" s="9"/>
      <c r="C1016" s="9"/>
      <c r="D1016" s="9"/>
    </row>
    <row r="1017" spans="1:4" x14ac:dyDescent="0.25">
      <c r="A1017" s="9"/>
      <c r="B1017" s="9"/>
      <c r="C1017" s="9"/>
      <c r="D1017" s="9"/>
    </row>
    <row r="1023" spans="1:4" x14ac:dyDescent="0.25">
      <c r="A1023" t="s">
        <v>9</v>
      </c>
    </row>
    <row r="1025" spans="1:4" x14ac:dyDescent="0.25">
      <c r="A1025" t="s">
        <v>10</v>
      </c>
      <c r="B1025" t="s">
        <v>11</v>
      </c>
    </row>
    <row r="1033" spans="1:4" ht="15.75" x14ac:dyDescent="0.25">
      <c r="B1033" s="4" t="s">
        <v>4</v>
      </c>
      <c r="C1033" s="4"/>
    </row>
    <row r="1034" spans="1:4" ht="15.75" x14ac:dyDescent="0.25">
      <c r="B1034" s="4" t="s">
        <v>5</v>
      </c>
      <c r="C1034" s="4"/>
    </row>
    <row r="1035" spans="1:4" x14ac:dyDescent="0.25">
      <c r="A1035" s="5" t="s">
        <v>25</v>
      </c>
      <c r="B1035" s="5"/>
      <c r="C1035" s="5"/>
      <c r="D1035" s="5"/>
    </row>
    <row r="1036" spans="1:4" x14ac:dyDescent="0.25">
      <c r="A1036" s="5"/>
      <c r="B1036" s="5" t="s">
        <v>6</v>
      </c>
      <c r="C1036" s="5"/>
      <c r="D1036" s="5"/>
    </row>
    <row r="1037" spans="1:4" x14ac:dyDescent="0.25">
      <c r="A1037" s="8" t="s">
        <v>41</v>
      </c>
      <c r="B1037" s="8" t="s">
        <v>7</v>
      </c>
      <c r="C1037" s="6">
        <v>30</v>
      </c>
    </row>
    <row r="1040" spans="1:4" ht="30" x14ac:dyDescent="0.25">
      <c r="A1040" s="1" t="s">
        <v>0</v>
      </c>
      <c r="B1040" s="2" t="s">
        <v>1</v>
      </c>
      <c r="C1040" s="2" t="s">
        <v>2</v>
      </c>
      <c r="D1040" s="2" t="s">
        <v>3</v>
      </c>
    </row>
    <row r="1041" spans="1:4" x14ac:dyDescent="0.25">
      <c r="A1041" s="3" t="s">
        <v>26</v>
      </c>
      <c r="B1041" s="1">
        <f>K769</f>
        <v>174786.53999999998</v>
      </c>
      <c r="C1041" s="1">
        <f>L769</f>
        <v>140792.89000000004</v>
      </c>
      <c r="D1041" s="10">
        <f>M769</f>
        <v>174783.90600000002</v>
      </c>
    </row>
    <row r="1042" spans="1:4" x14ac:dyDescent="0.25">
      <c r="A1042" s="14" t="s">
        <v>8</v>
      </c>
      <c r="B1042" s="15"/>
      <c r="C1042" s="16"/>
      <c r="D1042" s="10">
        <f>B1041-D1041</f>
        <v>2.6339999999618158</v>
      </c>
    </row>
    <row r="1044" spans="1:4" x14ac:dyDescent="0.25">
      <c r="A1044" s="5" t="s">
        <v>27</v>
      </c>
    </row>
    <row r="1046" spans="1:4" x14ac:dyDescent="0.25">
      <c r="A1046" s="9" t="s">
        <v>28</v>
      </c>
    </row>
    <row r="1047" spans="1:4" x14ac:dyDescent="0.25">
      <c r="A1047" s="9" t="s">
        <v>29</v>
      </c>
      <c r="B1047" s="9"/>
      <c r="C1047" s="9"/>
      <c r="D1047" s="9"/>
    </row>
    <row r="1048" spans="1:4" x14ac:dyDescent="0.25">
      <c r="A1048" s="9" t="s">
        <v>30</v>
      </c>
      <c r="B1048" s="9"/>
      <c r="C1048" s="9"/>
      <c r="D1048" s="9"/>
    </row>
    <row r="1049" spans="1:4" x14ac:dyDescent="0.25">
      <c r="A1049" s="9" t="s">
        <v>31</v>
      </c>
      <c r="B1049" s="9"/>
      <c r="C1049" s="9"/>
      <c r="D1049" s="9"/>
    </row>
    <row r="1050" spans="1:4" x14ac:dyDescent="0.25">
      <c r="A1050" s="9" t="s">
        <v>32</v>
      </c>
      <c r="B1050" s="9"/>
      <c r="C1050" s="9"/>
      <c r="D1050" s="9"/>
    </row>
    <row r="1051" spans="1:4" x14ac:dyDescent="0.25">
      <c r="A1051" s="9" t="s">
        <v>33</v>
      </c>
      <c r="B1051" s="9"/>
      <c r="C1051" s="9"/>
      <c r="D1051" s="9"/>
    </row>
    <row r="1052" spans="1:4" x14ac:dyDescent="0.25">
      <c r="A1052" s="9" t="s">
        <v>34</v>
      </c>
      <c r="B1052" s="9"/>
      <c r="C1052" s="9"/>
      <c r="D1052" s="9"/>
    </row>
    <row r="1053" spans="1:4" x14ac:dyDescent="0.25">
      <c r="A1053" s="9" t="s">
        <v>35</v>
      </c>
      <c r="B1053" s="9"/>
      <c r="C1053" s="9"/>
      <c r="D1053" s="9"/>
    </row>
    <row r="1054" spans="1:4" x14ac:dyDescent="0.25">
      <c r="A1054" s="9" t="s">
        <v>36</v>
      </c>
      <c r="B1054" s="9"/>
      <c r="C1054" s="9"/>
      <c r="D1054" s="9"/>
    </row>
    <row r="1055" spans="1:4" x14ac:dyDescent="0.25">
      <c r="A1055" s="9" t="s">
        <v>37</v>
      </c>
      <c r="B1055" s="9"/>
      <c r="C1055" s="9"/>
      <c r="D1055" s="9"/>
    </row>
    <row r="1056" spans="1:4" x14ac:dyDescent="0.25">
      <c r="A1056" s="9" t="s">
        <v>38</v>
      </c>
      <c r="B1056" s="9"/>
      <c r="C1056" s="9"/>
      <c r="D1056" s="9"/>
    </row>
    <row r="1057" spans="1:4" x14ac:dyDescent="0.25">
      <c r="A1057" s="9" t="s">
        <v>40</v>
      </c>
      <c r="B1057" s="9"/>
      <c r="C1057" s="9"/>
      <c r="D1057" s="9"/>
    </row>
    <row r="1058" spans="1:4" x14ac:dyDescent="0.25">
      <c r="A1058" s="9" t="s">
        <v>39</v>
      </c>
      <c r="B1058" s="9"/>
      <c r="C1058" s="9"/>
      <c r="D1058" s="9"/>
    </row>
    <row r="1059" spans="1:4" x14ac:dyDescent="0.25">
      <c r="A1059" s="9"/>
      <c r="B1059" s="9"/>
      <c r="C1059" s="9"/>
      <c r="D1059" s="9"/>
    </row>
    <row r="1060" spans="1:4" x14ac:dyDescent="0.25">
      <c r="A1060" s="9"/>
      <c r="B1060" s="9"/>
      <c r="C1060" s="9"/>
      <c r="D1060" s="9"/>
    </row>
    <row r="1061" spans="1:4" x14ac:dyDescent="0.25">
      <c r="A1061" s="9"/>
      <c r="B1061" s="9"/>
      <c r="C1061" s="9"/>
      <c r="D1061" s="9"/>
    </row>
    <row r="1062" spans="1:4" x14ac:dyDescent="0.25">
      <c r="A1062" s="9"/>
      <c r="B1062" s="9"/>
      <c r="C1062" s="9"/>
      <c r="D1062" s="9"/>
    </row>
    <row r="1063" spans="1:4" x14ac:dyDescent="0.25">
      <c r="A1063" s="9"/>
      <c r="B1063" s="9"/>
      <c r="C1063" s="9"/>
      <c r="D1063" s="9"/>
    </row>
    <row r="1064" spans="1:4" x14ac:dyDescent="0.25">
      <c r="A1064" s="9"/>
      <c r="B1064" s="9"/>
      <c r="C1064" s="9"/>
      <c r="D1064" s="9"/>
    </row>
    <row r="1065" spans="1:4" x14ac:dyDescent="0.25">
      <c r="A1065" s="9"/>
      <c r="B1065" s="9"/>
      <c r="C1065" s="9"/>
      <c r="D1065" s="9"/>
    </row>
    <row r="1066" spans="1:4" x14ac:dyDescent="0.25">
      <c r="A1066" s="9"/>
      <c r="B1066" s="9"/>
      <c r="C1066" s="9"/>
      <c r="D1066" s="9"/>
    </row>
    <row r="1072" spans="1:4" x14ac:dyDescent="0.25">
      <c r="A1072" t="s">
        <v>9</v>
      </c>
    </row>
    <row r="1074" spans="1:4" x14ac:dyDescent="0.25">
      <c r="A1074" t="s">
        <v>10</v>
      </c>
      <c r="B1074" t="s">
        <v>11</v>
      </c>
    </row>
    <row r="1082" spans="1:4" ht="15.75" x14ac:dyDescent="0.25">
      <c r="B1082" s="4" t="s">
        <v>4</v>
      </c>
      <c r="C1082" s="4"/>
    </row>
    <row r="1083" spans="1:4" ht="15.75" x14ac:dyDescent="0.25">
      <c r="B1083" s="4" t="s">
        <v>5</v>
      </c>
      <c r="C1083" s="4"/>
    </row>
    <row r="1084" spans="1:4" x14ac:dyDescent="0.25">
      <c r="A1084" s="5" t="s">
        <v>25</v>
      </c>
      <c r="B1084" s="5"/>
      <c r="C1084" s="5"/>
      <c r="D1084" s="5"/>
    </row>
    <row r="1085" spans="1:4" x14ac:dyDescent="0.25">
      <c r="A1085" s="5"/>
      <c r="B1085" s="5" t="s">
        <v>6</v>
      </c>
      <c r="C1085" s="5"/>
      <c r="D1085" s="5"/>
    </row>
    <row r="1086" spans="1:4" x14ac:dyDescent="0.25">
      <c r="A1086" s="8" t="s">
        <v>41</v>
      </c>
      <c r="B1086" s="8" t="s">
        <v>7</v>
      </c>
      <c r="C1086" s="6">
        <v>34</v>
      </c>
    </row>
    <row r="1089" spans="1:4" ht="30" x14ac:dyDescent="0.25">
      <c r="A1089" s="1" t="s">
        <v>0</v>
      </c>
      <c r="B1089" s="2" t="s">
        <v>1</v>
      </c>
      <c r="C1089" s="2" t="s">
        <v>2</v>
      </c>
      <c r="D1089" s="2" t="s">
        <v>3</v>
      </c>
    </row>
    <row r="1090" spans="1:4" x14ac:dyDescent="0.25">
      <c r="A1090" s="3" t="s">
        <v>26</v>
      </c>
      <c r="B1090" s="1">
        <f>K805</f>
        <v>90215.27999999997</v>
      </c>
      <c r="C1090" s="1">
        <f>L805</f>
        <v>64403.480000000032</v>
      </c>
      <c r="D1090" s="10">
        <f>M805</f>
        <v>90214.343999999983</v>
      </c>
    </row>
    <row r="1091" spans="1:4" x14ac:dyDescent="0.25">
      <c r="A1091" s="14" t="s">
        <v>8</v>
      </c>
      <c r="B1091" s="15"/>
      <c r="C1091" s="16"/>
      <c r="D1091" s="10">
        <f>B1090-D1090</f>
        <v>0.93599999998696148</v>
      </c>
    </row>
    <row r="1093" spans="1:4" x14ac:dyDescent="0.25">
      <c r="A1093" s="5" t="s">
        <v>27</v>
      </c>
    </row>
    <row r="1095" spans="1:4" x14ac:dyDescent="0.25">
      <c r="A1095" s="9" t="s">
        <v>28</v>
      </c>
    </row>
    <row r="1096" spans="1:4" x14ac:dyDescent="0.25">
      <c r="A1096" s="9" t="s">
        <v>29</v>
      </c>
      <c r="B1096" s="9"/>
      <c r="C1096" s="9"/>
      <c r="D1096" s="9"/>
    </row>
    <row r="1097" spans="1:4" x14ac:dyDescent="0.25">
      <c r="A1097" s="9" t="s">
        <v>30</v>
      </c>
      <c r="B1097" s="9"/>
      <c r="C1097" s="9"/>
      <c r="D1097" s="9"/>
    </row>
    <row r="1098" spans="1:4" x14ac:dyDescent="0.25">
      <c r="A1098" s="9" t="s">
        <v>31</v>
      </c>
      <c r="B1098" s="9"/>
      <c r="C1098" s="9"/>
      <c r="D1098" s="9"/>
    </row>
    <row r="1099" spans="1:4" x14ac:dyDescent="0.25">
      <c r="A1099" s="9" t="s">
        <v>32</v>
      </c>
      <c r="B1099" s="9"/>
      <c r="C1099" s="9"/>
      <c r="D1099" s="9"/>
    </row>
    <row r="1100" spans="1:4" x14ac:dyDescent="0.25">
      <c r="A1100" s="9" t="s">
        <v>33</v>
      </c>
      <c r="B1100" s="9"/>
      <c r="C1100" s="9"/>
      <c r="D1100" s="9"/>
    </row>
    <row r="1101" spans="1:4" x14ac:dyDescent="0.25">
      <c r="A1101" s="9" t="s">
        <v>34</v>
      </c>
      <c r="B1101" s="9"/>
      <c r="C1101" s="9"/>
      <c r="D1101" s="9"/>
    </row>
    <row r="1102" spans="1:4" x14ac:dyDescent="0.25">
      <c r="A1102" s="9" t="s">
        <v>35</v>
      </c>
      <c r="B1102" s="9"/>
      <c r="C1102" s="9"/>
      <c r="D1102" s="9"/>
    </row>
    <row r="1103" spans="1:4" x14ac:dyDescent="0.25">
      <c r="A1103" s="9" t="s">
        <v>36</v>
      </c>
      <c r="B1103" s="9"/>
      <c r="C1103" s="9"/>
      <c r="D1103" s="9"/>
    </row>
    <row r="1104" spans="1:4" x14ac:dyDescent="0.25">
      <c r="A1104" s="9" t="s">
        <v>37</v>
      </c>
      <c r="B1104" s="9"/>
      <c r="C1104" s="9"/>
      <c r="D1104" s="9"/>
    </row>
    <row r="1105" spans="1:4" x14ac:dyDescent="0.25">
      <c r="A1105" s="9" t="s">
        <v>38</v>
      </c>
      <c r="B1105" s="9"/>
      <c r="C1105" s="9"/>
      <c r="D1105" s="9"/>
    </row>
    <row r="1106" spans="1:4" x14ac:dyDescent="0.25">
      <c r="A1106" s="9" t="s">
        <v>40</v>
      </c>
      <c r="B1106" s="9"/>
      <c r="C1106" s="9"/>
      <c r="D1106" s="9"/>
    </row>
    <row r="1107" spans="1:4" x14ac:dyDescent="0.25">
      <c r="A1107" s="9" t="s">
        <v>39</v>
      </c>
      <c r="B1107" s="9"/>
      <c r="C1107" s="9"/>
      <c r="D1107" s="9"/>
    </row>
    <row r="1108" spans="1:4" x14ac:dyDescent="0.25">
      <c r="A1108" s="9"/>
      <c r="B1108" s="9"/>
      <c r="C1108" s="9"/>
      <c r="D1108" s="9"/>
    </row>
    <row r="1109" spans="1:4" x14ac:dyDescent="0.25">
      <c r="A1109" s="9"/>
      <c r="B1109" s="9"/>
      <c r="C1109" s="9"/>
      <c r="D1109" s="9"/>
    </row>
    <row r="1110" spans="1:4" x14ac:dyDescent="0.25">
      <c r="A1110" s="9"/>
      <c r="B1110" s="9"/>
      <c r="C1110" s="9"/>
      <c r="D1110" s="9"/>
    </row>
    <row r="1111" spans="1:4" x14ac:dyDescent="0.25">
      <c r="A1111" s="9"/>
      <c r="B1111" s="9"/>
      <c r="C1111" s="9"/>
      <c r="D1111" s="9"/>
    </row>
    <row r="1112" spans="1:4" x14ac:dyDescent="0.25">
      <c r="A1112" s="9"/>
      <c r="B1112" s="9"/>
      <c r="C1112" s="9"/>
      <c r="D1112" s="9"/>
    </row>
    <row r="1113" spans="1:4" x14ac:dyDescent="0.25">
      <c r="A1113" s="9"/>
      <c r="B1113" s="9"/>
      <c r="C1113" s="9"/>
      <c r="D1113" s="9"/>
    </row>
    <row r="1114" spans="1:4" x14ac:dyDescent="0.25">
      <c r="A1114" s="9"/>
      <c r="B1114" s="9"/>
      <c r="C1114" s="9"/>
      <c r="D1114" s="9"/>
    </row>
    <row r="1115" spans="1:4" x14ac:dyDescent="0.25">
      <c r="A1115" s="9"/>
      <c r="B1115" s="9"/>
      <c r="C1115" s="9"/>
      <c r="D1115" s="9"/>
    </row>
    <row r="1121" spans="1:2" x14ac:dyDescent="0.25">
      <c r="A1121" t="s">
        <v>9</v>
      </c>
    </row>
    <row r="1123" spans="1:2" x14ac:dyDescent="0.25">
      <c r="A1123" t="s">
        <v>10</v>
      </c>
      <c r="B1123" t="s">
        <v>11</v>
      </c>
    </row>
  </sheetData>
  <mergeCells count="23">
    <mergeCell ref="A748:C748"/>
    <mergeCell ref="A797:C797"/>
    <mergeCell ref="A356:C356"/>
    <mergeCell ref="A258:C258"/>
    <mergeCell ref="A307:C307"/>
    <mergeCell ref="A650:C650"/>
    <mergeCell ref="A699:C699"/>
    <mergeCell ref="A405:C405"/>
    <mergeCell ref="A454:C454"/>
    <mergeCell ref="A503:C503"/>
    <mergeCell ref="A552:C552"/>
    <mergeCell ref="A601:C601"/>
    <mergeCell ref="A13:C13"/>
    <mergeCell ref="A62:C62"/>
    <mergeCell ref="A111:C111"/>
    <mergeCell ref="A160:C160"/>
    <mergeCell ref="A209:C209"/>
    <mergeCell ref="A1091:C1091"/>
    <mergeCell ref="A846:C846"/>
    <mergeCell ref="A895:C895"/>
    <mergeCell ref="A944:C944"/>
    <mergeCell ref="A993:C993"/>
    <mergeCell ref="A1042:C104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270"/>
  <sheetViews>
    <sheetView topLeftCell="A1100" workbookViewId="0">
      <selection activeCell="K1195" sqref="K1195"/>
    </sheetView>
  </sheetViews>
  <sheetFormatPr defaultRowHeight="15" x14ac:dyDescent="0.25"/>
  <cols>
    <col min="1" max="1" width="26.28515625" customWidth="1"/>
    <col min="2" max="2" width="17.5703125" customWidth="1"/>
    <col min="3" max="3" width="16.85546875" customWidth="1"/>
    <col min="4" max="4" width="10.7109375" customWidth="1"/>
    <col min="6" max="6" width="8.85546875" customWidth="1"/>
    <col min="7" max="7" width="0.28515625" customWidth="1"/>
    <col min="8" max="10" width="8.85546875" hidden="1" customWidth="1"/>
  </cols>
  <sheetData>
    <row r="4" spans="1:14" ht="15.75" x14ac:dyDescent="0.25">
      <c r="B4" s="4" t="s">
        <v>4</v>
      </c>
      <c r="C4" s="4"/>
    </row>
    <row r="5" spans="1:14" ht="15.75" x14ac:dyDescent="0.25">
      <c r="B5" s="4" t="s">
        <v>5</v>
      </c>
      <c r="C5" s="4"/>
    </row>
    <row r="6" spans="1:14" x14ac:dyDescent="0.25">
      <c r="A6" s="5" t="s">
        <v>25</v>
      </c>
      <c r="B6" s="5"/>
      <c r="C6" s="5"/>
      <c r="D6" s="5"/>
    </row>
    <row r="7" spans="1:14" x14ac:dyDescent="0.25">
      <c r="A7" s="5"/>
      <c r="B7" s="5" t="s">
        <v>6</v>
      </c>
      <c r="C7" s="5"/>
      <c r="D7" s="5"/>
    </row>
    <row r="8" spans="1:14" x14ac:dyDescent="0.25">
      <c r="A8" s="8" t="s">
        <v>18</v>
      </c>
      <c r="B8" s="8" t="s">
        <v>21</v>
      </c>
      <c r="C8" s="6" t="s">
        <v>20</v>
      </c>
    </row>
    <row r="10" spans="1:14" x14ac:dyDescent="0.25">
      <c r="M10">
        <v>139.30000000000001</v>
      </c>
      <c r="N10">
        <v>11.7</v>
      </c>
    </row>
    <row r="11" spans="1:14" ht="30" x14ac:dyDescent="0.25">
      <c r="A11" s="1" t="s">
        <v>0</v>
      </c>
      <c r="B11" s="2" t="s">
        <v>1</v>
      </c>
      <c r="C11" s="2" t="s">
        <v>2</v>
      </c>
      <c r="D11" s="2" t="s">
        <v>3</v>
      </c>
      <c r="K11">
        <f>10763.58-460.17-524.55</f>
        <v>9778.86</v>
      </c>
      <c r="L11">
        <f>6936.3-360.03-609.22</f>
        <v>5967.05</v>
      </c>
      <c r="M11">
        <f>M10*N10*6</f>
        <v>9778.86</v>
      </c>
    </row>
    <row r="12" spans="1:14" x14ac:dyDescent="0.25">
      <c r="A12" s="3" t="s">
        <v>26</v>
      </c>
      <c r="B12" s="1">
        <f>K11</f>
        <v>9778.86</v>
      </c>
      <c r="C12" s="1">
        <f>L11</f>
        <v>5967.05</v>
      </c>
      <c r="D12" s="1">
        <f>M11</f>
        <v>9778.86</v>
      </c>
    </row>
    <row r="13" spans="1:14" x14ac:dyDescent="0.25">
      <c r="A13" s="14" t="s">
        <v>8</v>
      </c>
      <c r="B13" s="15"/>
      <c r="C13" s="16"/>
      <c r="D13" s="1">
        <f>B12-D12</f>
        <v>0</v>
      </c>
    </row>
    <row r="15" spans="1:14" x14ac:dyDescent="0.25">
      <c r="A15" s="5" t="s">
        <v>27</v>
      </c>
    </row>
    <row r="17" spans="1:4" x14ac:dyDescent="0.25">
      <c r="A17" s="9" t="s">
        <v>28</v>
      </c>
    </row>
    <row r="18" spans="1:4" x14ac:dyDescent="0.25">
      <c r="A18" s="9" t="s">
        <v>29</v>
      </c>
      <c r="B18" s="9"/>
      <c r="C18" s="9"/>
      <c r="D18" s="9"/>
    </row>
    <row r="19" spans="1:4" x14ac:dyDescent="0.25">
      <c r="A19" s="9" t="s">
        <v>30</v>
      </c>
      <c r="B19" s="9"/>
      <c r="C19" s="9"/>
      <c r="D19" s="9"/>
    </row>
    <row r="20" spans="1:4" x14ac:dyDescent="0.25">
      <c r="A20" s="9" t="s">
        <v>31</v>
      </c>
      <c r="B20" s="9"/>
      <c r="C20" s="9"/>
      <c r="D20" s="9"/>
    </row>
    <row r="21" spans="1:4" x14ac:dyDescent="0.25">
      <c r="A21" s="9" t="s">
        <v>32</v>
      </c>
      <c r="B21" s="9"/>
      <c r="C21" s="9"/>
      <c r="D21" s="9"/>
    </row>
    <row r="22" spans="1:4" x14ac:dyDescent="0.25">
      <c r="A22" s="9" t="s">
        <v>33</v>
      </c>
      <c r="B22" s="9"/>
      <c r="C22" s="9"/>
      <c r="D22" s="9"/>
    </row>
    <row r="23" spans="1:4" x14ac:dyDescent="0.25">
      <c r="A23" s="9" t="s">
        <v>34</v>
      </c>
      <c r="B23" s="9"/>
      <c r="C23" s="9"/>
      <c r="D23" s="9"/>
    </row>
    <row r="24" spans="1:4" x14ac:dyDescent="0.25">
      <c r="A24" s="9" t="s">
        <v>35</v>
      </c>
      <c r="B24" s="9"/>
      <c r="C24" s="9"/>
      <c r="D24" s="9"/>
    </row>
    <row r="25" spans="1:4" x14ac:dyDescent="0.25">
      <c r="A25" s="9" t="s">
        <v>36</v>
      </c>
      <c r="B25" s="9"/>
      <c r="C25" s="9"/>
      <c r="D25" s="9"/>
    </row>
    <row r="26" spans="1:4" x14ac:dyDescent="0.25">
      <c r="A26" s="9" t="s">
        <v>37</v>
      </c>
      <c r="B26" s="9"/>
      <c r="C26" s="9"/>
      <c r="D26" s="9"/>
    </row>
    <row r="27" spans="1:4" x14ac:dyDescent="0.25">
      <c r="A27" s="9" t="s">
        <v>38</v>
      </c>
      <c r="B27" s="9"/>
      <c r="C27" s="9"/>
      <c r="D27" s="9"/>
    </row>
    <row r="28" spans="1:4" x14ac:dyDescent="0.25">
      <c r="A28" s="9" t="s">
        <v>40</v>
      </c>
      <c r="B28" s="9"/>
      <c r="C28" s="9"/>
      <c r="D28" s="9"/>
    </row>
    <row r="29" spans="1:4" x14ac:dyDescent="0.25">
      <c r="A29" s="9" t="s">
        <v>39</v>
      </c>
      <c r="B29" s="9"/>
      <c r="C29" s="9"/>
      <c r="D29" s="9"/>
    </row>
    <row r="43" spans="1:14" x14ac:dyDescent="0.25">
      <c r="A43" t="s">
        <v>9</v>
      </c>
    </row>
    <row r="45" spans="1:14" x14ac:dyDescent="0.25">
      <c r="A45" t="s">
        <v>10</v>
      </c>
      <c r="B45" t="s">
        <v>11</v>
      </c>
    </row>
    <row r="47" spans="1:14" x14ac:dyDescent="0.25">
      <c r="M47">
        <v>901.5</v>
      </c>
      <c r="N47">
        <v>13.07</v>
      </c>
    </row>
    <row r="48" spans="1:14" x14ac:dyDescent="0.25">
      <c r="K48">
        <f>148874.28-19135.2-157.14-26504.1-32381.7</f>
        <v>70696.14</v>
      </c>
      <c r="L48">
        <f>71793.75-7942.61-81.37-13723.42-13441.03</f>
        <v>36605.32</v>
      </c>
      <c r="M48">
        <f>M47*N47*6</f>
        <v>70695.63</v>
      </c>
    </row>
    <row r="53" spans="1:4" ht="15.75" x14ac:dyDescent="0.25">
      <c r="B53" s="4" t="s">
        <v>4</v>
      </c>
      <c r="C53" s="4"/>
    </row>
    <row r="54" spans="1:4" ht="15.75" x14ac:dyDescent="0.25">
      <c r="B54" s="4" t="s">
        <v>5</v>
      </c>
      <c r="C54" s="4"/>
    </row>
    <row r="55" spans="1:4" x14ac:dyDescent="0.25">
      <c r="A55" s="5" t="s">
        <v>25</v>
      </c>
      <c r="B55" s="5"/>
      <c r="C55" s="5"/>
      <c r="D55" s="5"/>
    </row>
    <row r="56" spans="1:4" x14ac:dyDescent="0.25">
      <c r="A56" s="5"/>
      <c r="B56" s="5" t="s">
        <v>6</v>
      </c>
      <c r="C56" s="5"/>
      <c r="D56" s="5"/>
    </row>
    <row r="57" spans="1:4" x14ac:dyDescent="0.25">
      <c r="A57" s="8" t="s">
        <v>18</v>
      </c>
      <c r="B57" s="8" t="s">
        <v>21</v>
      </c>
      <c r="C57" s="6">
        <v>2</v>
      </c>
    </row>
    <row r="60" spans="1:4" ht="30" x14ac:dyDescent="0.25">
      <c r="A60" s="1" t="s">
        <v>0</v>
      </c>
      <c r="B60" s="2" t="s">
        <v>1</v>
      </c>
      <c r="C60" s="2" t="s">
        <v>2</v>
      </c>
      <c r="D60" s="2" t="s">
        <v>3</v>
      </c>
    </row>
    <row r="61" spans="1:4" x14ac:dyDescent="0.25">
      <c r="A61" s="3" t="s">
        <v>26</v>
      </c>
      <c r="B61" s="1">
        <f>K48</f>
        <v>70696.14</v>
      </c>
      <c r="C61" s="1">
        <f>L48</f>
        <v>36605.32</v>
      </c>
      <c r="D61" s="1">
        <f>M48</f>
        <v>70695.63</v>
      </c>
    </row>
    <row r="62" spans="1:4" x14ac:dyDescent="0.25">
      <c r="A62" s="14" t="s">
        <v>8</v>
      </c>
      <c r="B62" s="15"/>
      <c r="C62" s="16"/>
      <c r="D62" s="1">
        <f>B61-D61</f>
        <v>0.50999999999476131</v>
      </c>
    </row>
    <row r="64" spans="1:4" x14ac:dyDescent="0.25">
      <c r="A64" s="5" t="s">
        <v>27</v>
      </c>
    </row>
    <row r="66" spans="1:4" x14ac:dyDescent="0.25">
      <c r="A66" s="9" t="s">
        <v>28</v>
      </c>
    </row>
    <row r="67" spans="1:4" x14ac:dyDescent="0.25">
      <c r="A67" s="9" t="s">
        <v>29</v>
      </c>
      <c r="B67" s="9"/>
      <c r="C67" s="9"/>
      <c r="D67" s="9"/>
    </row>
    <row r="68" spans="1:4" x14ac:dyDescent="0.25">
      <c r="A68" s="9" t="s">
        <v>30</v>
      </c>
      <c r="B68" s="9"/>
      <c r="C68" s="9"/>
      <c r="D68" s="9"/>
    </row>
    <row r="69" spans="1:4" x14ac:dyDescent="0.25">
      <c r="A69" s="9" t="s">
        <v>31</v>
      </c>
      <c r="B69" s="9"/>
      <c r="C69" s="9"/>
      <c r="D69" s="9"/>
    </row>
    <row r="70" spans="1:4" x14ac:dyDescent="0.25">
      <c r="A70" s="9" t="s">
        <v>32</v>
      </c>
      <c r="B70" s="9"/>
      <c r="C70" s="9"/>
      <c r="D70" s="9"/>
    </row>
    <row r="71" spans="1:4" x14ac:dyDescent="0.25">
      <c r="A71" s="9" t="s">
        <v>33</v>
      </c>
      <c r="B71" s="9"/>
      <c r="C71" s="9"/>
      <c r="D71" s="9"/>
    </row>
    <row r="72" spans="1:4" x14ac:dyDescent="0.25">
      <c r="A72" s="9" t="s">
        <v>34</v>
      </c>
      <c r="B72" s="9"/>
      <c r="C72" s="9"/>
      <c r="D72" s="9"/>
    </row>
    <row r="73" spans="1:4" x14ac:dyDescent="0.25">
      <c r="A73" s="9" t="s">
        <v>35</v>
      </c>
      <c r="B73" s="9"/>
      <c r="C73" s="9"/>
      <c r="D73" s="9"/>
    </row>
    <row r="74" spans="1:4" x14ac:dyDescent="0.25">
      <c r="A74" s="9" t="s">
        <v>36</v>
      </c>
      <c r="B74" s="9"/>
      <c r="C74" s="9"/>
      <c r="D74" s="9"/>
    </row>
    <row r="75" spans="1:4" x14ac:dyDescent="0.25">
      <c r="A75" s="9" t="s">
        <v>37</v>
      </c>
      <c r="B75" s="9"/>
      <c r="C75" s="9"/>
      <c r="D75" s="9"/>
    </row>
    <row r="76" spans="1:4" x14ac:dyDescent="0.25">
      <c r="A76" s="9" t="s">
        <v>38</v>
      </c>
      <c r="B76" s="9"/>
      <c r="C76" s="9"/>
      <c r="D76" s="9"/>
    </row>
    <row r="77" spans="1:4" x14ac:dyDescent="0.25">
      <c r="A77" s="9" t="s">
        <v>40</v>
      </c>
      <c r="B77" s="9"/>
      <c r="C77" s="9"/>
      <c r="D77" s="9"/>
    </row>
    <row r="78" spans="1:4" x14ac:dyDescent="0.25">
      <c r="A78" s="9" t="s">
        <v>39</v>
      </c>
      <c r="B78" s="9"/>
      <c r="C78" s="9"/>
      <c r="D78" s="9"/>
    </row>
    <row r="84" spans="1:14" x14ac:dyDescent="0.25">
      <c r="M84">
        <v>894.2</v>
      </c>
      <c r="N84">
        <v>13.09</v>
      </c>
    </row>
    <row r="85" spans="1:14" x14ac:dyDescent="0.25">
      <c r="K85">
        <f>135846.91-16085.84-203.76-22104.6-27221.99</f>
        <v>70230.720000000016</v>
      </c>
      <c r="L85">
        <f>103609.66-12381.96-154.75-16786.13-20954.02</f>
        <v>53332.800000000003</v>
      </c>
      <c r="M85">
        <f>M84*N84*6</f>
        <v>70230.468000000008</v>
      </c>
    </row>
    <row r="92" spans="1:14" x14ac:dyDescent="0.25">
      <c r="A92" t="s">
        <v>9</v>
      </c>
    </row>
    <row r="94" spans="1:14" x14ac:dyDescent="0.25">
      <c r="A94" t="s">
        <v>10</v>
      </c>
      <c r="B94" t="s">
        <v>11</v>
      </c>
    </row>
    <row r="102" spans="1:4" ht="15.75" x14ac:dyDescent="0.25">
      <c r="B102" s="4" t="s">
        <v>4</v>
      </c>
      <c r="C102" s="4"/>
    </row>
    <row r="103" spans="1:4" ht="15.75" x14ac:dyDescent="0.25">
      <c r="B103" s="4" t="s">
        <v>5</v>
      </c>
      <c r="C103" s="4"/>
    </row>
    <row r="104" spans="1:4" x14ac:dyDescent="0.25">
      <c r="A104" s="5" t="s">
        <v>25</v>
      </c>
      <c r="B104" s="5"/>
      <c r="C104" s="5"/>
      <c r="D104" s="5"/>
    </row>
    <row r="105" spans="1:4" x14ac:dyDescent="0.25">
      <c r="A105" s="5"/>
      <c r="B105" s="5" t="s">
        <v>6</v>
      </c>
      <c r="C105" s="5"/>
      <c r="D105" s="5"/>
    </row>
    <row r="106" spans="1:4" x14ac:dyDescent="0.25">
      <c r="A106" s="8" t="s">
        <v>18</v>
      </c>
      <c r="B106" s="8" t="s">
        <v>21</v>
      </c>
      <c r="C106" s="6" t="s">
        <v>22</v>
      </c>
    </row>
    <row r="109" spans="1:4" ht="30" x14ac:dyDescent="0.25">
      <c r="A109" s="1" t="s">
        <v>0</v>
      </c>
      <c r="B109" s="2" t="s">
        <v>1</v>
      </c>
      <c r="C109" s="2" t="s">
        <v>2</v>
      </c>
      <c r="D109" s="2" t="s">
        <v>3</v>
      </c>
    </row>
    <row r="110" spans="1:4" x14ac:dyDescent="0.25">
      <c r="A110" s="3" t="s">
        <v>26</v>
      </c>
      <c r="B110" s="1">
        <f>K85</f>
        <v>70230.720000000016</v>
      </c>
      <c r="C110" s="1">
        <f>L85</f>
        <v>53332.800000000003</v>
      </c>
      <c r="D110" s="1">
        <f>M85</f>
        <v>70230.468000000008</v>
      </c>
    </row>
    <row r="111" spans="1:4" x14ac:dyDescent="0.25">
      <c r="A111" s="14" t="s">
        <v>8</v>
      </c>
      <c r="B111" s="15"/>
      <c r="C111" s="16"/>
      <c r="D111" s="1">
        <f>B110-D110</f>
        <v>0.25200000000768341</v>
      </c>
    </row>
    <row r="113" spans="1:14" x14ac:dyDescent="0.25">
      <c r="A113" s="5" t="s">
        <v>27</v>
      </c>
    </row>
    <row r="115" spans="1:14" x14ac:dyDescent="0.25">
      <c r="A115" s="9" t="s">
        <v>28</v>
      </c>
    </row>
    <row r="116" spans="1:14" x14ac:dyDescent="0.25">
      <c r="A116" s="9" t="s">
        <v>29</v>
      </c>
      <c r="B116" s="9"/>
      <c r="C116" s="9"/>
      <c r="D116" s="9"/>
    </row>
    <row r="117" spans="1:14" x14ac:dyDescent="0.25">
      <c r="A117" s="9" t="s">
        <v>30</v>
      </c>
      <c r="B117" s="9"/>
      <c r="C117" s="9"/>
      <c r="D117" s="9"/>
    </row>
    <row r="118" spans="1:14" x14ac:dyDescent="0.25">
      <c r="A118" s="9" t="s">
        <v>31</v>
      </c>
      <c r="B118" s="9"/>
      <c r="C118" s="9"/>
      <c r="D118" s="9"/>
    </row>
    <row r="119" spans="1:14" x14ac:dyDescent="0.25">
      <c r="A119" s="9" t="s">
        <v>32</v>
      </c>
      <c r="B119" s="9"/>
      <c r="C119" s="9"/>
      <c r="D119" s="9"/>
      <c r="M119">
        <v>645.79999999999995</v>
      </c>
      <c r="N119">
        <v>13.09</v>
      </c>
    </row>
    <row r="120" spans="1:14" x14ac:dyDescent="0.25">
      <c r="A120" s="9" t="s">
        <v>33</v>
      </c>
      <c r="B120" s="9"/>
      <c r="C120" s="9"/>
      <c r="D120" s="9"/>
      <c r="K120">
        <f>70743.08-7604.01-137.4-2417.1-11912.69</f>
        <v>48671.88</v>
      </c>
      <c r="L120">
        <f>50742.24-5900.3-95.03-1672.3-940.62</f>
        <v>42133.989999999991</v>
      </c>
      <c r="M120">
        <f>M119*N119*6</f>
        <v>50721.131999999998</v>
      </c>
    </row>
    <row r="121" spans="1:14" x14ac:dyDescent="0.25">
      <c r="A121" s="9" t="s">
        <v>34</v>
      </c>
      <c r="B121" s="9"/>
      <c r="C121" s="9"/>
      <c r="D121" s="9"/>
    </row>
    <row r="122" spans="1:14" x14ac:dyDescent="0.25">
      <c r="A122" s="9" t="s">
        <v>35</v>
      </c>
      <c r="B122" s="9"/>
      <c r="C122" s="9"/>
      <c r="D122" s="9"/>
    </row>
    <row r="123" spans="1:14" x14ac:dyDescent="0.25">
      <c r="A123" s="9" t="s">
        <v>36</v>
      </c>
      <c r="B123" s="9"/>
      <c r="C123" s="9"/>
      <c r="D123" s="9"/>
    </row>
    <row r="124" spans="1:14" x14ac:dyDescent="0.25">
      <c r="A124" s="9" t="s">
        <v>37</v>
      </c>
      <c r="B124" s="9"/>
      <c r="C124" s="9"/>
      <c r="D124" s="9"/>
    </row>
    <row r="125" spans="1:14" x14ac:dyDescent="0.25">
      <c r="A125" s="9" t="s">
        <v>38</v>
      </c>
      <c r="B125" s="9"/>
      <c r="C125" s="9"/>
      <c r="D125" s="9"/>
    </row>
    <row r="126" spans="1:14" x14ac:dyDescent="0.25">
      <c r="A126" s="9" t="s">
        <v>40</v>
      </c>
      <c r="B126" s="9"/>
      <c r="C126" s="9"/>
      <c r="D126" s="9"/>
    </row>
    <row r="127" spans="1:14" x14ac:dyDescent="0.25">
      <c r="A127" s="9" t="s">
        <v>39</v>
      </c>
      <c r="B127" s="9"/>
      <c r="C127" s="9"/>
      <c r="D127" s="9"/>
    </row>
    <row r="141" spans="1:2" x14ac:dyDescent="0.25">
      <c r="A141" t="s">
        <v>9</v>
      </c>
    </row>
    <row r="143" spans="1:2" x14ac:dyDescent="0.25">
      <c r="A143" t="s">
        <v>10</v>
      </c>
      <c r="B143" t="s">
        <v>11</v>
      </c>
    </row>
    <row r="151" spans="1:14" ht="15.75" x14ac:dyDescent="0.25">
      <c r="B151" s="4" t="s">
        <v>4</v>
      </c>
      <c r="C151" s="4"/>
    </row>
    <row r="152" spans="1:14" ht="15.75" x14ac:dyDescent="0.25">
      <c r="B152" s="4" t="s">
        <v>5</v>
      </c>
      <c r="C152" s="4"/>
    </row>
    <row r="153" spans="1:14" x14ac:dyDescent="0.25">
      <c r="A153" s="5" t="s">
        <v>25</v>
      </c>
      <c r="B153" s="5"/>
      <c r="C153" s="5"/>
      <c r="D153" s="5"/>
    </row>
    <row r="154" spans="1:14" x14ac:dyDescent="0.25">
      <c r="A154" s="5"/>
      <c r="B154" s="5" t="s">
        <v>6</v>
      </c>
      <c r="C154" s="5"/>
      <c r="D154" s="5"/>
      <c r="M154">
        <v>508.8</v>
      </c>
      <c r="N154">
        <v>13.09</v>
      </c>
    </row>
    <row r="155" spans="1:14" x14ac:dyDescent="0.25">
      <c r="A155" s="8" t="s">
        <v>18</v>
      </c>
      <c r="B155" s="8" t="s">
        <v>21</v>
      </c>
      <c r="C155" s="6">
        <v>4</v>
      </c>
      <c r="K155">
        <f>65931.51-4924.73-133.74-12577.5-8334.04</f>
        <v>39961.5</v>
      </c>
      <c r="L155">
        <f>50752.59-3798.23-102.9-9677.2-6427.69</f>
        <v>30746.569999999996</v>
      </c>
      <c r="M155">
        <f>M154*N154*6</f>
        <v>39961.152000000002</v>
      </c>
    </row>
    <row r="158" spans="1:14" ht="30" x14ac:dyDescent="0.25">
      <c r="A158" s="1" t="s">
        <v>0</v>
      </c>
      <c r="B158" s="2" t="s">
        <v>1</v>
      </c>
      <c r="C158" s="2" t="s">
        <v>2</v>
      </c>
      <c r="D158" s="2" t="s">
        <v>3</v>
      </c>
    </row>
    <row r="159" spans="1:14" x14ac:dyDescent="0.25">
      <c r="A159" s="3" t="s">
        <v>26</v>
      </c>
      <c r="B159" s="1">
        <f>K120</f>
        <v>48671.88</v>
      </c>
      <c r="C159" s="1">
        <f>L120</f>
        <v>42133.989999999991</v>
      </c>
      <c r="D159" s="1">
        <f>M120</f>
        <v>50721.131999999998</v>
      </c>
    </row>
    <row r="160" spans="1:14" x14ac:dyDescent="0.25">
      <c r="A160" s="14" t="s">
        <v>12</v>
      </c>
      <c r="B160" s="15"/>
      <c r="C160" s="16"/>
      <c r="D160" s="1">
        <f>B159-D159</f>
        <v>-2049.2520000000004</v>
      </c>
    </row>
    <row r="162" spans="1:4" x14ac:dyDescent="0.25">
      <c r="A162" s="5" t="s">
        <v>27</v>
      </c>
    </row>
    <row r="164" spans="1:4" x14ac:dyDescent="0.25">
      <c r="A164" s="9" t="s">
        <v>28</v>
      </c>
    </row>
    <row r="165" spans="1:4" x14ac:dyDescent="0.25">
      <c r="A165" s="9" t="s">
        <v>29</v>
      </c>
      <c r="B165" s="9"/>
      <c r="C165" s="9"/>
      <c r="D165" s="9"/>
    </row>
    <row r="166" spans="1:4" x14ac:dyDescent="0.25">
      <c r="A166" s="9" t="s">
        <v>30</v>
      </c>
      <c r="B166" s="9"/>
      <c r="C166" s="9"/>
      <c r="D166" s="9"/>
    </row>
    <row r="167" spans="1:4" x14ac:dyDescent="0.25">
      <c r="A167" s="9" t="s">
        <v>31</v>
      </c>
      <c r="B167" s="9"/>
      <c r="C167" s="9"/>
      <c r="D167" s="9"/>
    </row>
    <row r="168" spans="1:4" x14ac:dyDescent="0.25">
      <c r="A168" s="9" t="s">
        <v>32</v>
      </c>
      <c r="B168" s="9"/>
      <c r="C168" s="9"/>
      <c r="D168" s="9"/>
    </row>
    <row r="169" spans="1:4" x14ac:dyDescent="0.25">
      <c r="A169" s="9" t="s">
        <v>33</v>
      </c>
      <c r="B169" s="9"/>
      <c r="C169" s="9"/>
      <c r="D169" s="9"/>
    </row>
    <row r="170" spans="1:4" x14ac:dyDescent="0.25">
      <c r="A170" s="9" t="s">
        <v>34</v>
      </c>
      <c r="B170" s="9"/>
      <c r="C170" s="9"/>
      <c r="D170" s="9"/>
    </row>
    <row r="171" spans="1:4" x14ac:dyDescent="0.25">
      <c r="A171" s="9" t="s">
        <v>35</v>
      </c>
      <c r="B171" s="9"/>
      <c r="C171" s="9"/>
      <c r="D171" s="9"/>
    </row>
    <row r="172" spans="1:4" x14ac:dyDescent="0.25">
      <c r="A172" s="9" t="s">
        <v>36</v>
      </c>
      <c r="B172" s="9"/>
      <c r="C172" s="9"/>
      <c r="D172" s="9"/>
    </row>
    <row r="173" spans="1:4" x14ac:dyDescent="0.25">
      <c r="A173" s="9" t="s">
        <v>37</v>
      </c>
      <c r="B173" s="9"/>
      <c r="C173" s="9"/>
      <c r="D173" s="9"/>
    </row>
    <row r="174" spans="1:4" x14ac:dyDescent="0.25">
      <c r="A174" s="9" t="s">
        <v>38</v>
      </c>
      <c r="B174" s="9"/>
      <c r="C174" s="9"/>
      <c r="D174" s="9"/>
    </row>
    <row r="175" spans="1:4" x14ac:dyDescent="0.25">
      <c r="A175" s="9" t="s">
        <v>40</v>
      </c>
      <c r="B175" s="9"/>
      <c r="C175" s="9"/>
      <c r="D175" s="9"/>
    </row>
    <row r="176" spans="1:4" x14ac:dyDescent="0.25">
      <c r="A176" s="9" t="s">
        <v>39</v>
      </c>
      <c r="B176" s="9"/>
      <c r="C176" s="9"/>
      <c r="D176" s="9"/>
    </row>
    <row r="177" spans="1:14" x14ac:dyDescent="0.25">
      <c r="A177" s="9"/>
      <c r="B177" s="9"/>
      <c r="C177" s="9"/>
      <c r="D177" s="9"/>
    </row>
    <row r="178" spans="1:14" x14ac:dyDescent="0.25">
      <c r="A178" s="9"/>
      <c r="B178" s="9"/>
      <c r="C178" s="9"/>
      <c r="D178" s="9"/>
    </row>
    <row r="179" spans="1:14" x14ac:dyDescent="0.25">
      <c r="A179" s="9"/>
      <c r="B179" s="9"/>
      <c r="C179" s="9"/>
      <c r="D179" s="9"/>
    </row>
    <row r="180" spans="1:14" x14ac:dyDescent="0.25">
      <c r="A180" s="9"/>
      <c r="B180" s="9"/>
      <c r="C180" s="9"/>
      <c r="D180" s="9"/>
    </row>
    <row r="181" spans="1:14" x14ac:dyDescent="0.25">
      <c r="A181" s="9"/>
      <c r="B181" s="9"/>
      <c r="C181" s="9"/>
      <c r="D181" s="9"/>
    </row>
    <row r="182" spans="1:14" x14ac:dyDescent="0.25">
      <c r="A182" s="9"/>
      <c r="B182" s="9"/>
      <c r="C182" s="9"/>
      <c r="D182" s="9"/>
    </row>
    <row r="183" spans="1:14" x14ac:dyDescent="0.25">
      <c r="A183" s="9"/>
      <c r="B183" s="9"/>
      <c r="C183" s="9"/>
      <c r="D183" s="9"/>
    </row>
    <row r="184" spans="1:14" x14ac:dyDescent="0.25">
      <c r="A184" s="9"/>
      <c r="B184" s="9"/>
      <c r="C184" s="9"/>
      <c r="D184" s="9"/>
    </row>
    <row r="190" spans="1:14" x14ac:dyDescent="0.25">
      <c r="A190" t="s">
        <v>9</v>
      </c>
      <c r="M190">
        <v>514.79999999999995</v>
      </c>
      <c r="N190">
        <v>13.09</v>
      </c>
    </row>
    <row r="191" spans="1:14" x14ac:dyDescent="0.25">
      <c r="K191">
        <f>75385.4-8190.48-175.8-12725.82-13860.14</f>
        <v>40433.159999999996</v>
      </c>
      <c r="L191">
        <f>63007.87-7013.21-145.45-10528.74-11867.99</f>
        <v>33452.48000000001</v>
      </c>
      <c r="M191">
        <f>M190*N190*6</f>
        <v>40432.391999999993</v>
      </c>
    </row>
    <row r="192" spans="1:14" x14ac:dyDescent="0.25">
      <c r="A192" t="s">
        <v>10</v>
      </c>
      <c r="B192" t="s">
        <v>11</v>
      </c>
    </row>
    <row r="200" spans="1:4" ht="15.75" x14ac:dyDescent="0.25">
      <c r="B200" s="4" t="s">
        <v>4</v>
      </c>
      <c r="C200" s="4"/>
    </row>
    <row r="201" spans="1:4" ht="15.75" x14ac:dyDescent="0.25">
      <c r="B201" s="4" t="s">
        <v>5</v>
      </c>
      <c r="C201" s="4"/>
    </row>
    <row r="202" spans="1:4" x14ac:dyDescent="0.25">
      <c r="A202" s="5" t="s">
        <v>25</v>
      </c>
      <c r="B202" s="5"/>
      <c r="C202" s="5"/>
      <c r="D202" s="5"/>
    </row>
    <row r="203" spans="1:4" x14ac:dyDescent="0.25">
      <c r="A203" s="5"/>
      <c r="B203" s="5" t="s">
        <v>6</v>
      </c>
      <c r="C203" s="5"/>
      <c r="D203" s="5"/>
    </row>
    <row r="204" spans="1:4" x14ac:dyDescent="0.25">
      <c r="A204" s="8" t="s">
        <v>18</v>
      </c>
      <c r="B204" s="8" t="s">
        <v>21</v>
      </c>
      <c r="C204" s="6" t="s">
        <v>17</v>
      </c>
    </row>
    <row r="207" spans="1:4" ht="30" x14ac:dyDescent="0.25">
      <c r="A207" s="1" t="s">
        <v>0</v>
      </c>
      <c r="B207" s="2" t="s">
        <v>1</v>
      </c>
      <c r="C207" s="2" t="s">
        <v>2</v>
      </c>
      <c r="D207" s="2" t="s">
        <v>3</v>
      </c>
    </row>
    <row r="208" spans="1:4" x14ac:dyDescent="0.25">
      <c r="A208" s="3" t="s">
        <v>26</v>
      </c>
      <c r="B208" s="1">
        <f>K155</f>
        <v>39961.5</v>
      </c>
      <c r="C208" s="1">
        <f>L155</f>
        <v>30746.569999999996</v>
      </c>
      <c r="D208" s="1">
        <f>M155</f>
        <v>39961.152000000002</v>
      </c>
    </row>
    <row r="209" spans="1:4" x14ac:dyDescent="0.25">
      <c r="A209" s="14" t="s">
        <v>8</v>
      </c>
      <c r="B209" s="15"/>
      <c r="C209" s="16"/>
      <c r="D209" s="1">
        <f>B208-D208</f>
        <v>0.34799999999813735</v>
      </c>
    </row>
    <row r="211" spans="1:4" x14ac:dyDescent="0.25">
      <c r="A211" s="5" t="s">
        <v>27</v>
      </c>
    </row>
    <row r="213" spans="1:4" x14ac:dyDescent="0.25">
      <c r="A213" s="9" t="s">
        <v>28</v>
      </c>
    </row>
    <row r="214" spans="1:4" x14ac:dyDescent="0.25">
      <c r="A214" s="9" t="s">
        <v>29</v>
      </c>
      <c r="B214" s="9"/>
      <c r="C214" s="9"/>
      <c r="D214" s="9"/>
    </row>
    <row r="215" spans="1:4" x14ac:dyDescent="0.25">
      <c r="A215" s="9" t="s">
        <v>30</v>
      </c>
      <c r="B215" s="9"/>
      <c r="C215" s="9"/>
      <c r="D215" s="9"/>
    </row>
    <row r="216" spans="1:4" x14ac:dyDescent="0.25">
      <c r="A216" s="9" t="s">
        <v>31</v>
      </c>
      <c r="B216" s="9"/>
      <c r="C216" s="9"/>
      <c r="D216" s="9"/>
    </row>
    <row r="217" spans="1:4" x14ac:dyDescent="0.25">
      <c r="A217" s="9" t="s">
        <v>32</v>
      </c>
      <c r="B217" s="9"/>
      <c r="C217" s="9"/>
      <c r="D217" s="9"/>
    </row>
    <row r="218" spans="1:4" x14ac:dyDescent="0.25">
      <c r="A218" s="9" t="s">
        <v>33</v>
      </c>
      <c r="B218" s="9"/>
      <c r="C218" s="9"/>
      <c r="D218" s="9"/>
    </row>
    <row r="219" spans="1:4" x14ac:dyDescent="0.25">
      <c r="A219" s="9" t="s">
        <v>34</v>
      </c>
      <c r="B219" s="9"/>
      <c r="C219" s="9"/>
      <c r="D219" s="9"/>
    </row>
    <row r="220" spans="1:4" x14ac:dyDescent="0.25">
      <c r="A220" s="9" t="s">
        <v>35</v>
      </c>
      <c r="B220" s="9"/>
      <c r="C220" s="9"/>
      <c r="D220" s="9"/>
    </row>
    <row r="221" spans="1:4" x14ac:dyDescent="0.25">
      <c r="A221" s="9" t="s">
        <v>36</v>
      </c>
      <c r="B221" s="9"/>
      <c r="C221" s="9"/>
      <c r="D221" s="9"/>
    </row>
    <row r="222" spans="1:4" x14ac:dyDescent="0.25">
      <c r="A222" s="9" t="s">
        <v>37</v>
      </c>
      <c r="B222" s="9"/>
      <c r="C222" s="9"/>
      <c r="D222" s="9"/>
    </row>
    <row r="223" spans="1:4" x14ac:dyDescent="0.25">
      <c r="A223" s="9" t="s">
        <v>38</v>
      </c>
      <c r="B223" s="9"/>
      <c r="C223" s="9"/>
      <c r="D223" s="9"/>
    </row>
    <row r="224" spans="1:4" x14ac:dyDescent="0.25">
      <c r="A224" s="9" t="s">
        <v>40</v>
      </c>
      <c r="B224" s="9"/>
      <c r="C224" s="9"/>
      <c r="D224" s="9"/>
    </row>
    <row r="225" spans="1:14" x14ac:dyDescent="0.25">
      <c r="A225" s="9" t="s">
        <v>39</v>
      </c>
      <c r="B225" s="9"/>
      <c r="C225" s="9"/>
      <c r="D225" s="9"/>
      <c r="M225">
        <v>208.6</v>
      </c>
      <c r="N225">
        <v>13.09</v>
      </c>
    </row>
    <row r="226" spans="1:14" x14ac:dyDescent="0.25">
      <c r="K226">
        <f>21396.95-1536.36-63.42-813.6-2599.97</f>
        <v>16383.600000000004</v>
      </c>
      <c r="L226">
        <f>13866-1239-38.68-496.37-2096.75</f>
        <v>9995.1999999999989</v>
      </c>
      <c r="M226">
        <f>M225*N225*6</f>
        <v>16383.444</v>
      </c>
    </row>
    <row r="239" spans="1:14" x14ac:dyDescent="0.25">
      <c r="A239" t="s">
        <v>9</v>
      </c>
    </row>
    <row r="241" spans="1:4" x14ac:dyDescent="0.25">
      <c r="A241" t="s">
        <v>10</v>
      </c>
      <c r="B241" t="s">
        <v>11</v>
      </c>
    </row>
    <row r="249" spans="1:4" ht="15.75" x14ac:dyDescent="0.25">
      <c r="B249" s="4" t="s">
        <v>4</v>
      </c>
      <c r="C249" s="4"/>
    </row>
    <row r="250" spans="1:4" ht="15.75" x14ac:dyDescent="0.25">
      <c r="B250" s="4" t="s">
        <v>5</v>
      </c>
      <c r="C250" s="4"/>
    </row>
    <row r="251" spans="1:4" x14ac:dyDescent="0.25">
      <c r="A251" s="5" t="s">
        <v>25</v>
      </c>
      <c r="B251" s="5"/>
      <c r="C251" s="5"/>
      <c r="D251" s="5"/>
    </row>
    <row r="252" spans="1:4" x14ac:dyDescent="0.25">
      <c r="A252" s="5"/>
      <c r="B252" s="5" t="s">
        <v>6</v>
      </c>
      <c r="C252" s="5"/>
      <c r="D252" s="5"/>
    </row>
    <row r="253" spans="1:4" x14ac:dyDescent="0.25">
      <c r="A253" s="8" t="s">
        <v>18</v>
      </c>
      <c r="B253" s="8" t="s">
        <v>21</v>
      </c>
      <c r="C253" s="6">
        <v>8</v>
      </c>
    </row>
    <row r="256" spans="1:4" ht="30" x14ac:dyDescent="0.25">
      <c r="A256" s="1" t="s">
        <v>0</v>
      </c>
      <c r="B256" s="2" t="s">
        <v>1</v>
      </c>
      <c r="C256" s="2" t="s">
        <v>2</v>
      </c>
      <c r="D256" s="2" t="s">
        <v>3</v>
      </c>
    </row>
    <row r="257" spans="1:14" x14ac:dyDescent="0.25">
      <c r="A257" s="3" t="s">
        <v>26</v>
      </c>
      <c r="B257" s="1">
        <f>K191</f>
        <v>40433.159999999996</v>
      </c>
      <c r="C257" s="1">
        <f>L191</f>
        <v>33452.48000000001</v>
      </c>
      <c r="D257" s="1">
        <f>M191</f>
        <v>40432.391999999993</v>
      </c>
    </row>
    <row r="258" spans="1:14" x14ac:dyDescent="0.25">
      <c r="A258" s="14" t="s">
        <v>8</v>
      </c>
      <c r="B258" s="15"/>
      <c r="C258" s="16"/>
      <c r="D258" s="1">
        <f>B257-D257</f>
        <v>0.76800000000366708</v>
      </c>
    </row>
    <row r="260" spans="1:14" x14ac:dyDescent="0.25">
      <c r="A260" s="5" t="s">
        <v>27</v>
      </c>
      <c r="M260">
        <v>447.3</v>
      </c>
      <c r="N260">
        <v>13.09</v>
      </c>
    </row>
    <row r="261" spans="1:14" x14ac:dyDescent="0.25">
      <c r="K261">
        <f>60804.61-5375.72-143.16-11057.28-9097.25</f>
        <v>35131.199999999997</v>
      </c>
      <c r="L261">
        <f>42253.72-3536.82-101.15-7811.55-5985.3</f>
        <v>24818.9</v>
      </c>
      <c r="M261">
        <f>M260*N260*6</f>
        <v>35130.942000000003</v>
      </c>
    </row>
    <row r="262" spans="1:14" x14ac:dyDescent="0.25">
      <c r="A262" s="9" t="s">
        <v>28</v>
      </c>
    </row>
    <row r="263" spans="1:14" x14ac:dyDescent="0.25">
      <c r="A263" s="9" t="s">
        <v>29</v>
      </c>
      <c r="B263" s="9"/>
      <c r="C263" s="9"/>
      <c r="D263" s="9"/>
    </row>
    <row r="264" spans="1:14" x14ac:dyDescent="0.25">
      <c r="A264" s="9" t="s">
        <v>30</v>
      </c>
      <c r="B264" s="9"/>
      <c r="C264" s="9"/>
      <c r="D264" s="9"/>
    </row>
    <row r="265" spans="1:14" x14ac:dyDescent="0.25">
      <c r="A265" s="9" t="s">
        <v>31</v>
      </c>
      <c r="B265" s="9"/>
      <c r="C265" s="9"/>
      <c r="D265" s="9"/>
    </row>
    <row r="266" spans="1:14" x14ac:dyDescent="0.25">
      <c r="A266" s="9" t="s">
        <v>32</v>
      </c>
      <c r="B266" s="9"/>
      <c r="C266" s="9"/>
      <c r="D266" s="9"/>
    </row>
    <row r="267" spans="1:14" x14ac:dyDescent="0.25">
      <c r="A267" s="9" t="s">
        <v>33</v>
      </c>
      <c r="B267" s="9"/>
      <c r="C267" s="9"/>
      <c r="D267" s="9"/>
    </row>
    <row r="268" spans="1:14" x14ac:dyDescent="0.25">
      <c r="A268" s="9" t="s">
        <v>34</v>
      </c>
      <c r="B268" s="9"/>
      <c r="C268" s="9"/>
      <c r="D268" s="9"/>
    </row>
    <row r="269" spans="1:14" x14ac:dyDescent="0.25">
      <c r="A269" s="9" t="s">
        <v>35</v>
      </c>
      <c r="B269" s="9"/>
      <c r="C269" s="9"/>
      <c r="D269" s="9"/>
    </row>
    <row r="270" spans="1:14" x14ac:dyDescent="0.25">
      <c r="A270" s="9" t="s">
        <v>36</v>
      </c>
      <c r="B270" s="9"/>
      <c r="C270" s="9"/>
      <c r="D270" s="9"/>
    </row>
    <row r="271" spans="1:14" x14ac:dyDescent="0.25">
      <c r="A271" s="9" t="s">
        <v>37</v>
      </c>
      <c r="B271" s="9"/>
      <c r="C271" s="9"/>
      <c r="D271" s="9"/>
    </row>
    <row r="272" spans="1:14" x14ac:dyDescent="0.25">
      <c r="A272" s="9" t="s">
        <v>38</v>
      </c>
      <c r="B272" s="9"/>
      <c r="C272" s="9"/>
      <c r="D272" s="9"/>
    </row>
    <row r="273" spans="1:4" x14ac:dyDescent="0.25">
      <c r="A273" s="9" t="s">
        <v>40</v>
      </c>
      <c r="B273" s="9"/>
      <c r="C273" s="9"/>
      <c r="D273" s="9"/>
    </row>
    <row r="274" spans="1:4" x14ac:dyDescent="0.25">
      <c r="A274" s="9" t="s">
        <v>39</v>
      </c>
      <c r="B274" s="9"/>
      <c r="C274" s="9"/>
      <c r="D274" s="9"/>
    </row>
    <row r="288" spans="1:4" x14ac:dyDescent="0.25">
      <c r="A288" t="s">
        <v>9</v>
      </c>
    </row>
    <row r="290" spans="1:14" x14ac:dyDescent="0.25">
      <c r="A290" t="s">
        <v>10</v>
      </c>
      <c r="B290" t="s">
        <v>11</v>
      </c>
    </row>
    <row r="296" spans="1:14" x14ac:dyDescent="0.25">
      <c r="M296">
        <v>437.5</v>
      </c>
      <c r="N296">
        <v>13.09</v>
      </c>
    </row>
    <row r="297" spans="1:14" x14ac:dyDescent="0.25">
      <c r="K297">
        <f>53667.85-6492.36-125.04-1706.1-10986.97</f>
        <v>34357.379999999997</v>
      </c>
      <c r="L297">
        <f>29931.04-3568.32-70.24-958.16-6038.64</f>
        <v>19295.68</v>
      </c>
      <c r="M297">
        <f>M296*N296*6</f>
        <v>34361.25</v>
      </c>
    </row>
    <row r="298" spans="1:14" ht="15.75" x14ac:dyDescent="0.25">
      <c r="B298" s="4" t="s">
        <v>4</v>
      </c>
      <c r="C298" s="4"/>
    </row>
    <row r="299" spans="1:14" ht="15.75" x14ac:dyDescent="0.25">
      <c r="B299" s="4" t="s">
        <v>5</v>
      </c>
      <c r="C299" s="4"/>
    </row>
    <row r="300" spans="1:14" x14ac:dyDescent="0.25">
      <c r="A300" s="5" t="s">
        <v>25</v>
      </c>
      <c r="B300" s="5"/>
      <c r="C300" s="5"/>
      <c r="D300" s="5"/>
    </row>
    <row r="301" spans="1:14" x14ac:dyDescent="0.25">
      <c r="A301" s="5"/>
      <c r="B301" s="5" t="s">
        <v>6</v>
      </c>
      <c r="C301" s="5"/>
      <c r="D301" s="5"/>
    </row>
    <row r="302" spans="1:14" x14ac:dyDescent="0.25">
      <c r="A302" s="8" t="s">
        <v>18</v>
      </c>
      <c r="B302" s="8" t="s">
        <v>21</v>
      </c>
      <c r="C302" s="6">
        <v>9</v>
      </c>
    </row>
    <row r="305" spans="1:4" ht="30" x14ac:dyDescent="0.25">
      <c r="A305" s="1" t="s">
        <v>0</v>
      </c>
      <c r="B305" s="2" t="s">
        <v>1</v>
      </c>
      <c r="C305" s="2" t="s">
        <v>2</v>
      </c>
      <c r="D305" s="2" t="s">
        <v>3</v>
      </c>
    </row>
    <row r="306" spans="1:4" x14ac:dyDescent="0.25">
      <c r="A306" s="3" t="s">
        <v>26</v>
      </c>
      <c r="B306" s="1">
        <f>K226</f>
        <v>16383.600000000004</v>
      </c>
      <c r="C306" s="1">
        <f>L226</f>
        <v>9995.1999999999989</v>
      </c>
      <c r="D306" s="1">
        <f>M226</f>
        <v>16383.444</v>
      </c>
    </row>
    <row r="307" spans="1:4" x14ac:dyDescent="0.25">
      <c r="A307" s="14" t="s">
        <v>8</v>
      </c>
      <c r="B307" s="15"/>
      <c r="C307" s="16"/>
      <c r="D307" s="1">
        <f>B306-D306</f>
        <v>0.15600000000449654</v>
      </c>
    </row>
    <row r="309" spans="1:4" x14ac:dyDescent="0.25">
      <c r="A309" s="5" t="s">
        <v>27</v>
      </c>
    </row>
    <row r="311" spans="1:4" x14ac:dyDescent="0.25">
      <c r="A311" s="9" t="s">
        <v>28</v>
      </c>
    </row>
    <row r="312" spans="1:4" x14ac:dyDescent="0.25">
      <c r="A312" s="9" t="s">
        <v>29</v>
      </c>
      <c r="B312" s="9"/>
      <c r="C312" s="9"/>
      <c r="D312" s="9"/>
    </row>
    <row r="313" spans="1:4" x14ac:dyDescent="0.25">
      <c r="A313" s="9" t="s">
        <v>30</v>
      </c>
      <c r="B313" s="9"/>
      <c r="C313" s="9"/>
      <c r="D313" s="9"/>
    </row>
    <row r="314" spans="1:4" x14ac:dyDescent="0.25">
      <c r="A314" s="9" t="s">
        <v>31</v>
      </c>
      <c r="B314" s="9"/>
      <c r="C314" s="9"/>
      <c r="D314" s="9"/>
    </row>
    <row r="315" spans="1:4" x14ac:dyDescent="0.25">
      <c r="A315" s="9" t="s">
        <v>32</v>
      </c>
      <c r="B315" s="9"/>
      <c r="C315" s="9"/>
      <c r="D315" s="9"/>
    </row>
    <row r="316" spans="1:4" x14ac:dyDescent="0.25">
      <c r="A316" s="9" t="s">
        <v>33</v>
      </c>
      <c r="B316" s="9"/>
      <c r="C316" s="9"/>
      <c r="D316" s="9"/>
    </row>
    <row r="317" spans="1:4" x14ac:dyDescent="0.25">
      <c r="A317" s="9" t="s">
        <v>34</v>
      </c>
      <c r="B317" s="9"/>
      <c r="C317" s="9"/>
      <c r="D317" s="9"/>
    </row>
    <row r="318" spans="1:4" x14ac:dyDescent="0.25">
      <c r="A318" s="9" t="s">
        <v>35</v>
      </c>
      <c r="B318" s="9"/>
      <c r="C318" s="9"/>
      <c r="D318" s="9"/>
    </row>
    <row r="319" spans="1:4" x14ac:dyDescent="0.25">
      <c r="A319" s="9" t="s">
        <v>36</v>
      </c>
      <c r="B319" s="9"/>
      <c r="C319" s="9"/>
      <c r="D319" s="9"/>
    </row>
    <row r="320" spans="1:4" x14ac:dyDescent="0.25">
      <c r="A320" s="9" t="s">
        <v>37</v>
      </c>
      <c r="B320" s="9"/>
      <c r="C320" s="9"/>
      <c r="D320" s="9"/>
    </row>
    <row r="321" spans="1:14" x14ac:dyDescent="0.25">
      <c r="A321" s="9" t="s">
        <v>38</v>
      </c>
      <c r="B321" s="9"/>
      <c r="C321" s="9"/>
      <c r="D321" s="9"/>
    </row>
    <row r="322" spans="1:14" x14ac:dyDescent="0.25">
      <c r="A322" s="9" t="s">
        <v>40</v>
      </c>
      <c r="B322" s="9"/>
      <c r="C322" s="9"/>
      <c r="D322" s="9"/>
    </row>
    <row r="323" spans="1:14" x14ac:dyDescent="0.25">
      <c r="A323" s="9" t="s">
        <v>39</v>
      </c>
      <c r="B323" s="9"/>
      <c r="C323" s="9"/>
      <c r="D323" s="9"/>
    </row>
    <row r="331" spans="1:14" x14ac:dyDescent="0.25">
      <c r="M331">
        <v>589.20000000000005</v>
      </c>
      <c r="N331">
        <v>13.09</v>
      </c>
    </row>
    <row r="332" spans="1:14" x14ac:dyDescent="0.25">
      <c r="K332">
        <f>80626.38-7280.74-183.42-14565-12321.08</f>
        <v>46276.14</v>
      </c>
      <c r="L332">
        <f>68534.85-6134.21-156.36-12415.8-10380.85</f>
        <v>39447.630000000012</v>
      </c>
      <c r="M332">
        <f>M331*N331*6</f>
        <v>46275.768000000004</v>
      </c>
    </row>
    <row r="337" spans="1:4" x14ac:dyDescent="0.25">
      <c r="A337" t="s">
        <v>9</v>
      </c>
    </row>
    <row r="339" spans="1:4" x14ac:dyDescent="0.25">
      <c r="A339" t="s">
        <v>10</v>
      </c>
      <c r="B339" t="s">
        <v>11</v>
      </c>
    </row>
    <row r="347" spans="1:4" ht="15.75" x14ac:dyDescent="0.25">
      <c r="B347" s="4" t="s">
        <v>4</v>
      </c>
      <c r="C347" s="4"/>
    </row>
    <row r="348" spans="1:4" ht="15.75" x14ac:dyDescent="0.25">
      <c r="B348" s="4" t="s">
        <v>5</v>
      </c>
      <c r="C348" s="4"/>
    </row>
    <row r="349" spans="1:4" x14ac:dyDescent="0.25">
      <c r="A349" s="5" t="s">
        <v>25</v>
      </c>
      <c r="B349" s="5"/>
      <c r="C349" s="5"/>
      <c r="D349" s="5"/>
    </row>
    <row r="350" spans="1:4" x14ac:dyDescent="0.25">
      <c r="A350" s="5"/>
      <c r="B350" s="5" t="s">
        <v>6</v>
      </c>
      <c r="C350" s="5"/>
      <c r="D350" s="5"/>
    </row>
    <row r="351" spans="1:4" x14ac:dyDescent="0.25">
      <c r="A351" s="8" t="s">
        <v>18</v>
      </c>
      <c r="B351" s="8" t="s">
        <v>21</v>
      </c>
      <c r="C351" s="6">
        <v>10</v>
      </c>
    </row>
    <row r="354" spans="1:14" ht="30" x14ac:dyDescent="0.25">
      <c r="A354" s="1" t="s">
        <v>0</v>
      </c>
      <c r="B354" s="2" t="s">
        <v>1</v>
      </c>
      <c r="C354" s="2" t="s">
        <v>2</v>
      </c>
      <c r="D354" s="2" t="s">
        <v>3</v>
      </c>
    </row>
    <row r="355" spans="1:14" x14ac:dyDescent="0.25">
      <c r="A355" s="3" t="s">
        <v>26</v>
      </c>
      <c r="B355" s="1">
        <f>K261</f>
        <v>35131.199999999997</v>
      </c>
      <c r="C355" s="1">
        <f>L261</f>
        <v>24818.9</v>
      </c>
      <c r="D355" s="1">
        <f>M261</f>
        <v>35130.942000000003</v>
      </c>
    </row>
    <row r="356" spans="1:14" x14ac:dyDescent="0.25">
      <c r="A356" s="14" t="s">
        <v>8</v>
      </c>
      <c r="B356" s="15"/>
      <c r="C356" s="16"/>
      <c r="D356" s="1">
        <f>B355-D355</f>
        <v>0.25799999999435386</v>
      </c>
    </row>
    <row r="358" spans="1:14" x14ac:dyDescent="0.25">
      <c r="A358" s="5" t="s">
        <v>27</v>
      </c>
    </row>
    <row r="360" spans="1:14" x14ac:dyDescent="0.25">
      <c r="A360" s="9" t="s">
        <v>28</v>
      </c>
    </row>
    <row r="361" spans="1:14" x14ac:dyDescent="0.25">
      <c r="A361" s="9" t="s">
        <v>29</v>
      </c>
      <c r="B361" s="9"/>
      <c r="C361" s="9"/>
      <c r="D361" s="9"/>
    </row>
    <row r="362" spans="1:14" x14ac:dyDescent="0.25">
      <c r="A362" s="9" t="s">
        <v>30</v>
      </c>
      <c r="B362" s="9"/>
      <c r="C362" s="9"/>
      <c r="D362" s="9"/>
    </row>
    <row r="363" spans="1:14" x14ac:dyDescent="0.25">
      <c r="A363" s="9" t="s">
        <v>31</v>
      </c>
      <c r="B363" s="9"/>
      <c r="C363" s="9"/>
      <c r="D363" s="9"/>
    </row>
    <row r="364" spans="1:14" x14ac:dyDescent="0.25">
      <c r="A364" s="9" t="s">
        <v>32</v>
      </c>
      <c r="B364" s="9"/>
      <c r="C364" s="9"/>
      <c r="D364" s="9"/>
    </row>
    <row r="365" spans="1:14" x14ac:dyDescent="0.25">
      <c r="A365" s="9" t="s">
        <v>33</v>
      </c>
      <c r="B365" s="9"/>
      <c r="C365" s="9"/>
      <c r="D365" s="9"/>
    </row>
    <row r="366" spans="1:14" x14ac:dyDescent="0.25">
      <c r="A366" s="9" t="s">
        <v>34</v>
      </c>
      <c r="B366" s="9"/>
      <c r="C366" s="9"/>
      <c r="D366" s="9"/>
      <c r="M366">
        <v>439.6</v>
      </c>
      <c r="N366">
        <v>13.09</v>
      </c>
    </row>
    <row r="367" spans="1:14" x14ac:dyDescent="0.25">
      <c r="A367" s="9" t="s">
        <v>35</v>
      </c>
      <c r="B367" s="9"/>
      <c r="C367" s="9"/>
      <c r="D367" s="9"/>
      <c r="K367">
        <f>54353.04-6641.7-230.52-1714.56-11239.74</f>
        <v>34526.520000000011</v>
      </c>
      <c r="L367">
        <f>36685.79-4613.06-148.38-1147.1-7806.67</f>
        <v>22970.58</v>
      </c>
      <c r="M367">
        <f>M366*N366*6</f>
        <v>34526.184000000001</v>
      </c>
    </row>
    <row r="368" spans="1:14" x14ac:dyDescent="0.25">
      <c r="A368" s="9" t="s">
        <v>36</v>
      </c>
      <c r="B368" s="9"/>
      <c r="C368" s="9"/>
      <c r="D368" s="9"/>
    </row>
    <row r="369" spans="1:4" x14ac:dyDescent="0.25">
      <c r="A369" s="9" t="s">
        <v>37</v>
      </c>
      <c r="B369" s="9"/>
      <c r="C369" s="9"/>
      <c r="D369" s="9"/>
    </row>
    <row r="370" spans="1:4" x14ac:dyDescent="0.25">
      <c r="A370" s="9" t="s">
        <v>38</v>
      </c>
      <c r="B370" s="9"/>
      <c r="C370" s="9"/>
      <c r="D370" s="9"/>
    </row>
    <row r="371" spans="1:4" x14ac:dyDescent="0.25">
      <c r="A371" s="9" t="s">
        <v>40</v>
      </c>
      <c r="B371" s="9"/>
      <c r="C371" s="9"/>
      <c r="D371" s="9"/>
    </row>
    <row r="372" spans="1:4" x14ac:dyDescent="0.25">
      <c r="A372" s="9" t="s">
        <v>39</v>
      </c>
      <c r="B372" s="9"/>
      <c r="C372" s="9"/>
      <c r="D372" s="9"/>
    </row>
    <row r="386" spans="1:4" x14ac:dyDescent="0.25">
      <c r="A386" t="s">
        <v>9</v>
      </c>
    </row>
    <row r="388" spans="1:4" x14ac:dyDescent="0.25">
      <c r="A388" t="s">
        <v>10</v>
      </c>
      <c r="B388" t="s">
        <v>11</v>
      </c>
    </row>
    <row r="396" spans="1:4" ht="15.75" x14ac:dyDescent="0.25">
      <c r="B396" s="4" t="s">
        <v>4</v>
      </c>
      <c r="C396" s="4"/>
    </row>
    <row r="397" spans="1:4" ht="15.75" x14ac:dyDescent="0.25">
      <c r="B397" s="4" t="s">
        <v>5</v>
      </c>
      <c r="C397" s="4"/>
    </row>
    <row r="398" spans="1:4" x14ac:dyDescent="0.25">
      <c r="A398" s="5" t="s">
        <v>25</v>
      </c>
      <c r="B398" s="5"/>
      <c r="C398" s="5"/>
      <c r="D398" s="5"/>
    </row>
    <row r="399" spans="1:4" x14ac:dyDescent="0.25">
      <c r="A399" s="5"/>
      <c r="B399" s="5" t="s">
        <v>6</v>
      </c>
      <c r="C399" s="5"/>
      <c r="D399" s="5"/>
    </row>
    <row r="400" spans="1:4" x14ac:dyDescent="0.25">
      <c r="A400" s="8" t="s">
        <v>18</v>
      </c>
      <c r="B400" s="8" t="s">
        <v>21</v>
      </c>
      <c r="C400" s="6">
        <v>13</v>
      </c>
    </row>
    <row r="402" spans="1:14" x14ac:dyDescent="0.25">
      <c r="M402">
        <v>701.1</v>
      </c>
      <c r="N402">
        <v>13.09</v>
      </c>
    </row>
    <row r="403" spans="1:14" ht="30" x14ac:dyDescent="0.25">
      <c r="A403" s="1" t="s">
        <v>0</v>
      </c>
      <c r="B403" s="2" t="s">
        <v>1</v>
      </c>
      <c r="C403" s="2" t="s">
        <v>2</v>
      </c>
      <c r="D403" s="2" t="s">
        <v>3</v>
      </c>
      <c r="K403">
        <f>96336.14-8825.99-173.52-17331.24-14936.39</f>
        <v>55068.999999999985</v>
      </c>
      <c r="L403">
        <f>76527.09-7041.41-137.64-13748.79-11916.43</f>
        <v>43682.819999999992</v>
      </c>
      <c r="M403">
        <f>M402*N402*6</f>
        <v>55064.394</v>
      </c>
    </row>
    <row r="404" spans="1:14" x14ac:dyDescent="0.25">
      <c r="A404" s="3" t="s">
        <v>26</v>
      </c>
      <c r="B404" s="1">
        <f>K297</f>
        <v>34357.379999999997</v>
      </c>
      <c r="C404" s="1">
        <f>L297</f>
        <v>19295.68</v>
      </c>
      <c r="D404" s="1">
        <f>M297</f>
        <v>34361.25</v>
      </c>
    </row>
    <row r="405" spans="1:14" x14ac:dyDescent="0.25">
      <c r="A405" s="14" t="s">
        <v>12</v>
      </c>
      <c r="B405" s="15"/>
      <c r="C405" s="16"/>
      <c r="D405" s="1">
        <f>B404-D404</f>
        <v>-3.8700000000026193</v>
      </c>
    </row>
    <row r="407" spans="1:14" x14ac:dyDescent="0.25">
      <c r="A407" s="5" t="s">
        <v>27</v>
      </c>
    </row>
    <row r="409" spans="1:14" x14ac:dyDescent="0.25">
      <c r="A409" s="9" t="s">
        <v>28</v>
      </c>
    </row>
    <row r="410" spans="1:14" x14ac:dyDescent="0.25">
      <c r="A410" s="9" t="s">
        <v>29</v>
      </c>
      <c r="B410" s="9"/>
      <c r="C410" s="9"/>
      <c r="D410" s="9"/>
    </row>
    <row r="411" spans="1:14" x14ac:dyDescent="0.25">
      <c r="A411" s="9" t="s">
        <v>30</v>
      </c>
      <c r="B411" s="9"/>
      <c r="C411" s="9"/>
      <c r="D411" s="9"/>
    </row>
    <row r="412" spans="1:14" x14ac:dyDescent="0.25">
      <c r="A412" s="9" t="s">
        <v>31</v>
      </c>
      <c r="B412" s="9"/>
      <c r="C412" s="9"/>
      <c r="D412" s="9"/>
    </row>
    <row r="413" spans="1:14" x14ac:dyDescent="0.25">
      <c r="A413" s="9" t="s">
        <v>32</v>
      </c>
      <c r="B413" s="9"/>
      <c r="C413" s="9"/>
      <c r="D413" s="9"/>
    </row>
    <row r="414" spans="1:14" x14ac:dyDescent="0.25">
      <c r="A414" s="9" t="s">
        <v>33</v>
      </c>
      <c r="B414" s="9"/>
      <c r="C414" s="9"/>
      <c r="D414" s="9"/>
    </row>
    <row r="415" spans="1:14" x14ac:dyDescent="0.25">
      <c r="A415" s="9" t="s">
        <v>34</v>
      </c>
      <c r="B415" s="9"/>
      <c r="C415" s="9"/>
      <c r="D415" s="9"/>
    </row>
    <row r="416" spans="1:14" x14ac:dyDescent="0.25">
      <c r="A416" s="9" t="s">
        <v>35</v>
      </c>
      <c r="B416" s="9"/>
      <c r="C416" s="9"/>
      <c r="D416" s="9"/>
    </row>
    <row r="417" spans="1:4" x14ac:dyDescent="0.25">
      <c r="A417" s="9" t="s">
        <v>36</v>
      </c>
      <c r="B417" s="9"/>
      <c r="C417" s="9"/>
      <c r="D417" s="9"/>
    </row>
    <row r="418" spans="1:4" x14ac:dyDescent="0.25">
      <c r="A418" s="9" t="s">
        <v>37</v>
      </c>
      <c r="B418" s="9"/>
      <c r="C418" s="9"/>
      <c r="D418" s="9"/>
    </row>
    <row r="419" spans="1:4" x14ac:dyDescent="0.25">
      <c r="A419" s="9" t="s">
        <v>38</v>
      </c>
      <c r="B419" s="9"/>
      <c r="C419" s="9"/>
      <c r="D419" s="9"/>
    </row>
    <row r="420" spans="1:4" x14ac:dyDescent="0.25">
      <c r="A420" s="9" t="s">
        <v>40</v>
      </c>
      <c r="B420" s="9"/>
      <c r="C420" s="9"/>
      <c r="D420" s="9"/>
    </row>
    <row r="421" spans="1:4" x14ac:dyDescent="0.25">
      <c r="A421" s="9" t="s">
        <v>39</v>
      </c>
      <c r="B421" s="9"/>
      <c r="C421" s="9"/>
      <c r="D421" s="9"/>
    </row>
    <row r="435" spans="1:14" x14ac:dyDescent="0.25">
      <c r="A435" t="s">
        <v>9</v>
      </c>
    </row>
    <row r="437" spans="1:14" x14ac:dyDescent="0.25">
      <c r="A437" t="s">
        <v>10</v>
      </c>
      <c r="B437" t="s">
        <v>11</v>
      </c>
      <c r="M437">
        <v>381.1</v>
      </c>
      <c r="N437">
        <v>13.09</v>
      </c>
    </row>
    <row r="438" spans="1:14" x14ac:dyDescent="0.25">
      <c r="K438">
        <f>57484.01-6699.15-95.34-9420.78-11336.9</f>
        <v>29931.840000000004</v>
      </c>
      <c r="L438">
        <f>29913.81-3485.59-49.6-4902.8-5898.62</f>
        <v>15577.200000000004</v>
      </c>
      <c r="M438">
        <f>M437*N437*6</f>
        <v>29931.594000000001</v>
      </c>
    </row>
    <row r="445" spans="1:14" ht="15.75" x14ac:dyDescent="0.25">
      <c r="B445" s="4" t="s">
        <v>4</v>
      </c>
      <c r="C445" s="4"/>
    </row>
    <row r="446" spans="1:14" ht="15.75" x14ac:dyDescent="0.25">
      <c r="B446" s="4" t="s">
        <v>5</v>
      </c>
      <c r="C446" s="4"/>
    </row>
    <row r="447" spans="1:14" x14ac:dyDescent="0.25">
      <c r="A447" s="5" t="s">
        <v>25</v>
      </c>
      <c r="B447" s="5"/>
      <c r="C447" s="5"/>
      <c r="D447" s="5"/>
    </row>
    <row r="448" spans="1:14" x14ac:dyDescent="0.25">
      <c r="A448" s="5"/>
      <c r="B448" s="5" t="s">
        <v>6</v>
      </c>
      <c r="C448" s="5"/>
      <c r="D448" s="5"/>
    </row>
    <row r="449" spans="1:4" x14ac:dyDescent="0.25">
      <c r="A449" s="8" t="s">
        <v>18</v>
      </c>
      <c r="B449" s="8" t="s">
        <v>21</v>
      </c>
      <c r="C449" s="6">
        <v>14</v>
      </c>
    </row>
    <row r="452" spans="1:4" ht="30" x14ac:dyDescent="0.25">
      <c r="A452" s="1" t="s">
        <v>0</v>
      </c>
      <c r="B452" s="2" t="s">
        <v>1</v>
      </c>
      <c r="C452" s="2" t="s">
        <v>2</v>
      </c>
      <c r="D452" s="2" t="s">
        <v>3</v>
      </c>
    </row>
    <row r="453" spans="1:4" x14ac:dyDescent="0.25">
      <c r="A453" s="3" t="s">
        <v>26</v>
      </c>
      <c r="B453" s="1">
        <f>K332</f>
        <v>46276.14</v>
      </c>
      <c r="C453" s="1">
        <f>L332</f>
        <v>39447.630000000012</v>
      </c>
      <c r="D453" s="1">
        <f>M332</f>
        <v>46275.768000000004</v>
      </c>
    </row>
    <row r="454" spans="1:4" x14ac:dyDescent="0.25">
      <c r="A454" s="14" t="s">
        <v>8</v>
      </c>
      <c r="B454" s="15"/>
      <c r="C454" s="16"/>
      <c r="D454" s="1">
        <f>B453-D453</f>
        <v>0.37199999999575084</v>
      </c>
    </row>
    <row r="456" spans="1:4" x14ac:dyDescent="0.25">
      <c r="A456" s="5" t="s">
        <v>27</v>
      </c>
    </row>
    <row r="458" spans="1:4" x14ac:dyDescent="0.25">
      <c r="A458" s="9" t="s">
        <v>28</v>
      </c>
    </row>
    <row r="459" spans="1:4" x14ac:dyDescent="0.25">
      <c r="A459" s="9" t="s">
        <v>29</v>
      </c>
      <c r="B459" s="9"/>
      <c r="C459" s="9"/>
      <c r="D459" s="9"/>
    </row>
    <row r="460" spans="1:4" x14ac:dyDescent="0.25">
      <c r="A460" s="9" t="s">
        <v>30</v>
      </c>
      <c r="B460" s="9"/>
      <c r="C460" s="9"/>
      <c r="D460" s="9"/>
    </row>
    <row r="461" spans="1:4" x14ac:dyDescent="0.25">
      <c r="A461" s="9" t="s">
        <v>31</v>
      </c>
      <c r="B461" s="9"/>
      <c r="C461" s="9"/>
      <c r="D461" s="9"/>
    </row>
    <row r="462" spans="1:4" x14ac:dyDescent="0.25">
      <c r="A462" s="9" t="s">
        <v>32</v>
      </c>
      <c r="B462" s="9"/>
      <c r="C462" s="9"/>
      <c r="D462" s="9"/>
    </row>
    <row r="463" spans="1:4" x14ac:dyDescent="0.25">
      <c r="A463" s="9" t="s">
        <v>33</v>
      </c>
      <c r="B463" s="9"/>
      <c r="C463" s="9"/>
      <c r="D463" s="9"/>
    </row>
    <row r="464" spans="1:4" x14ac:dyDescent="0.25">
      <c r="A464" s="9" t="s">
        <v>34</v>
      </c>
      <c r="B464" s="9"/>
      <c r="C464" s="9"/>
      <c r="D464" s="9"/>
    </row>
    <row r="465" spans="1:15" x14ac:dyDescent="0.25">
      <c r="A465" s="9" t="s">
        <v>35</v>
      </c>
      <c r="B465" s="9"/>
      <c r="C465" s="9"/>
      <c r="D465" s="9"/>
    </row>
    <row r="466" spans="1:15" x14ac:dyDescent="0.25">
      <c r="A466" s="9" t="s">
        <v>36</v>
      </c>
      <c r="B466" s="9"/>
      <c r="C466" s="9"/>
      <c r="D466" s="9"/>
    </row>
    <row r="467" spans="1:15" x14ac:dyDescent="0.25">
      <c r="A467" s="9" t="s">
        <v>37</v>
      </c>
      <c r="B467" s="9"/>
      <c r="C467" s="9"/>
      <c r="D467" s="9"/>
    </row>
    <row r="468" spans="1:15" x14ac:dyDescent="0.25">
      <c r="A468" s="9" t="s">
        <v>38</v>
      </c>
      <c r="B468" s="9"/>
      <c r="C468" s="9"/>
      <c r="D468" s="9"/>
    </row>
    <row r="469" spans="1:15" x14ac:dyDescent="0.25">
      <c r="A469" s="9" t="s">
        <v>40</v>
      </c>
      <c r="B469" s="9"/>
      <c r="C469" s="9"/>
      <c r="D469" s="9"/>
    </row>
    <row r="470" spans="1:15" x14ac:dyDescent="0.25">
      <c r="A470" s="9" t="s">
        <v>39</v>
      </c>
      <c r="B470" s="9"/>
      <c r="C470" s="9"/>
      <c r="D470" s="9"/>
    </row>
    <row r="472" spans="1:15" x14ac:dyDescent="0.25">
      <c r="M472">
        <v>1506.6</v>
      </c>
      <c r="N472">
        <v>13.14</v>
      </c>
      <c r="O472">
        <v>1506.6</v>
      </c>
    </row>
    <row r="473" spans="1:15" x14ac:dyDescent="0.25">
      <c r="K473">
        <f>236358.82-31477.66-379.38-32452.2-53268.12</f>
        <v>118781.45999999999</v>
      </c>
      <c r="L473">
        <f>159808.9-19907.94-265.8-22734-33689.62</f>
        <v>83211.540000000008</v>
      </c>
      <c r="M473">
        <f>M472*N472*6</f>
        <v>118780.34399999998</v>
      </c>
      <c r="O473">
        <v>105763.3</v>
      </c>
    </row>
    <row r="484" spans="1:4" x14ac:dyDescent="0.25">
      <c r="A484" t="s">
        <v>9</v>
      </c>
    </row>
    <row r="486" spans="1:4" x14ac:dyDescent="0.25">
      <c r="A486" t="s">
        <v>10</v>
      </c>
      <c r="B486" t="s">
        <v>11</v>
      </c>
    </row>
    <row r="494" spans="1:4" ht="15.75" x14ac:dyDescent="0.25">
      <c r="B494" s="4" t="s">
        <v>4</v>
      </c>
      <c r="C494" s="4"/>
    </row>
    <row r="495" spans="1:4" ht="15.75" x14ac:dyDescent="0.25">
      <c r="B495" s="4" t="s">
        <v>5</v>
      </c>
      <c r="C495" s="4"/>
    </row>
    <row r="496" spans="1:4" x14ac:dyDescent="0.25">
      <c r="A496" s="5" t="s">
        <v>25</v>
      </c>
      <c r="B496" s="5"/>
      <c r="C496" s="5"/>
      <c r="D496" s="5"/>
    </row>
    <row r="497" spans="1:14" x14ac:dyDescent="0.25">
      <c r="A497" s="5"/>
      <c r="B497" s="5" t="s">
        <v>6</v>
      </c>
      <c r="C497" s="5"/>
      <c r="D497" s="5"/>
    </row>
    <row r="498" spans="1:14" x14ac:dyDescent="0.25">
      <c r="A498" s="8" t="s">
        <v>18</v>
      </c>
      <c r="B498" s="8" t="s">
        <v>21</v>
      </c>
      <c r="C498" s="6">
        <v>15</v>
      </c>
    </row>
    <row r="501" spans="1:14" ht="30" x14ac:dyDescent="0.25">
      <c r="A501" s="1" t="s">
        <v>0</v>
      </c>
      <c r="B501" s="2" t="s">
        <v>1</v>
      </c>
      <c r="C501" s="2" t="s">
        <v>2</v>
      </c>
      <c r="D501" s="2" t="s">
        <v>3</v>
      </c>
    </row>
    <row r="502" spans="1:14" x14ac:dyDescent="0.25">
      <c r="A502" s="3" t="s">
        <v>26</v>
      </c>
      <c r="B502" s="1">
        <f>K367</f>
        <v>34526.520000000011</v>
      </c>
      <c r="C502" s="1">
        <f>L367</f>
        <v>22970.58</v>
      </c>
      <c r="D502" s="1">
        <f>M367</f>
        <v>34526.184000000001</v>
      </c>
    </row>
    <row r="503" spans="1:14" x14ac:dyDescent="0.25">
      <c r="A503" s="14" t="s">
        <v>8</v>
      </c>
      <c r="B503" s="15"/>
      <c r="C503" s="16"/>
      <c r="D503" s="1">
        <f>B502-D502</f>
        <v>0.33600000001024455</v>
      </c>
    </row>
    <row r="505" spans="1:14" x14ac:dyDescent="0.25">
      <c r="A505" s="5" t="s">
        <v>27</v>
      </c>
    </row>
    <row r="507" spans="1:14" x14ac:dyDescent="0.25">
      <c r="A507" s="9" t="s">
        <v>28</v>
      </c>
      <c r="M507">
        <v>552.4</v>
      </c>
      <c r="N507">
        <v>13.09</v>
      </c>
    </row>
    <row r="508" spans="1:14" x14ac:dyDescent="0.25">
      <c r="A508" s="9" t="s">
        <v>29</v>
      </c>
      <c r="B508" s="9"/>
      <c r="C508" s="9"/>
      <c r="D508" s="9"/>
      <c r="K508">
        <f>82667.96-9479.98-104.1-13655.28-16042.78</f>
        <v>43385.820000000007</v>
      </c>
      <c r="L508">
        <f>49389.36-4696.93-66.96-8780.16-7948.61</f>
        <v>27896.699999999997</v>
      </c>
      <c r="M508">
        <f>M507*N507*6</f>
        <v>43385.495999999999</v>
      </c>
    </row>
    <row r="509" spans="1:14" x14ac:dyDescent="0.25">
      <c r="A509" s="9" t="s">
        <v>30</v>
      </c>
      <c r="B509" s="9"/>
      <c r="C509" s="9"/>
      <c r="D509" s="9"/>
    </row>
    <row r="510" spans="1:14" x14ac:dyDescent="0.25">
      <c r="A510" s="9" t="s">
        <v>31</v>
      </c>
      <c r="B510" s="9"/>
      <c r="C510" s="9"/>
      <c r="D510" s="9"/>
    </row>
    <row r="511" spans="1:14" x14ac:dyDescent="0.25">
      <c r="A511" s="9" t="s">
        <v>32</v>
      </c>
      <c r="B511" s="9"/>
      <c r="C511" s="9"/>
      <c r="D511" s="9"/>
    </row>
    <row r="512" spans="1:14" x14ac:dyDescent="0.25">
      <c r="A512" s="9" t="s">
        <v>33</v>
      </c>
      <c r="B512" s="9"/>
      <c r="C512" s="9"/>
      <c r="D512" s="9"/>
    </row>
    <row r="513" spans="1:4" x14ac:dyDescent="0.25">
      <c r="A513" s="9" t="s">
        <v>34</v>
      </c>
      <c r="B513" s="9"/>
      <c r="C513" s="9"/>
      <c r="D513" s="9"/>
    </row>
    <row r="514" spans="1:4" x14ac:dyDescent="0.25">
      <c r="A514" s="9" t="s">
        <v>35</v>
      </c>
      <c r="B514" s="9"/>
      <c r="C514" s="9"/>
      <c r="D514" s="9"/>
    </row>
    <row r="515" spans="1:4" x14ac:dyDescent="0.25">
      <c r="A515" s="9" t="s">
        <v>36</v>
      </c>
      <c r="B515" s="9"/>
      <c r="C515" s="9"/>
      <c r="D515" s="9"/>
    </row>
    <row r="516" spans="1:4" x14ac:dyDescent="0.25">
      <c r="A516" s="9" t="s">
        <v>37</v>
      </c>
      <c r="B516" s="9"/>
      <c r="C516" s="9"/>
      <c r="D516" s="9"/>
    </row>
    <row r="517" spans="1:4" x14ac:dyDescent="0.25">
      <c r="A517" s="9" t="s">
        <v>38</v>
      </c>
      <c r="B517" s="9"/>
      <c r="C517" s="9"/>
      <c r="D517" s="9"/>
    </row>
    <row r="518" spans="1:4" x14ac:dyDescent="0.25">
      <c r="A518" s="9" t="s">
        <v>40</v>
      </c>
      <c r="B518" s="9"/>
      <c r="C518" s="9"/>
      <c r="D518" s="9"/>
    </row>
    <row r="519" spans="1:4" x14ac:dyDescent="0.25">
      <c r="A519" s="9" t="s">
        <v>39</v>
      </c>
      <c r="B519" s="9"/>
      <c r="C519" s="9"/>
      <c r="D519" s="9"/>
    </row>
    <row r="533" spans="1:14" x14ac:dyDescent="0.25">
      <c r="A533" t="s">
        <v>9</v>
      </c>
    </row>
    <row r="535" spans="1:14" x14ac:dyDescent="0.25">
      <c r="A535" t="s">
        <v>10</v>
      </c>
      <c r="B535" t="s">
        <v>11</v>
      </c>
    </row>
    <row r="543" spans="1:14" ht="15.75" x14ac:dyDescent="0.25">
      <c r="B543" s="4" t="s">
        <v>4</v>
      </c>
      <c r="C543" s="4"/>
      <c r="M543">
        <v>552.4</v>
      </c>
      <c r="N543">
        <v>13.09</v>
      </c>
    </row>
    <row r="544" spans="1:14" ht="15.75" x14ac:dyDescent="0.25">
      <c r="B544" s="4" t="s">
        <v>5</v>
      </c>
      <c r="C544" s="4"/>
      <c r="K544">
        <f>82667.96-9479.98-104.1-13655.28-16042.78</f>
        <v>43385.820000000007</v>
      </c>
      <c r="L544">
        <f>49389.36-4696.93-66.96-8780.16-7948.61</f>
        <v>27896.699999999997</v>
      </c>
      <c r="M544">
        <f>M543*N543*6</f>
        <v>43385.495999999999</v>
      </c>
    </row>
    <row r="545" spans="1:4" x14ac:dyDescent="0.25">
      <c r="A545" s="5" t="s">
        <v>25</v>
      </c>
      <c r="B545" s="5"/>
      <c r="C545" s="5"/>
      <c r="D545" s="5"/>
    </row>
    <row r="546" spans="1:4" x14ac:dyDescent="0.25">
      <c r="A546" s="5"/>
      <c r="B546" s="5" t="s">
        <v>6</v>
      </c>
      <c r="C546" s="5"/>
      <c r="D546" s="5"/>
    </row>
    <row r="547" spans="1:4" x14ac:dyDescent="0.25">
      <c r="A547" s="8" t="s">
        <v>18</v>
      </c>
      <c r="B547" s="8" t="s">
        <v>21</v>
      </c>
      <c r="C547" s="6">
        <v>16</v>
      </c>
    </row>
    <row r="550" spans="1:4" ht="30" x14ac:dyDescent="0.25">
      <c r="A550" s="1" t="s">
        <v>0</v>
      </c>
      <c r="B550" s="2" t="s">
        <v>1</v>
      </c>
      <c r="C550" s="2" t="s">
        <v>2</v>
      </c>
      <c r="D550" s="2" t="s">
        <v>3</v>
      </c>
    </row>
    <row r="551" spans="1:4" x14ac:dyDescent="0.25">
      <c r="A551" s="3" t="s">
        <v>26</v>
      </c>
      <c r="B551" s="1">
        <f>K403</f>
        <v>55068.999999999985</v>
      </c>
      <c r="C551" s="1">
        <f>L403</f>
        <v>43682.819999999992</v>
      </c>
      <c r="D551" s="1">
        <f>M403</f>
        <v>55064.394</v>
      </c>
    </row>
    <row r="552" spans="1:4" x14ac:dyDescent="0.25">
      <c r="A552" s="14" t="s">
        <v>8</v>
      </c>
      <c r="B552" s="15"/>
      <c r="C552" s="16"/>
      <c r="D552" s="1">
        <f>B551-D551</f>
        <v>4.6059999999852153</v>
      </c>
    </row>
    <row r="554" spans="1:4" x14ac:dyDescent="0.25">
      <c r="A554" s="5" t="s">
        <v>27</v>
      </c>
    </row>
    <row r="556" spans="1:4" x14ac:dyDescent="0.25">
      <c r="A556" s="9" t="s">
        <v>28</v>
      </c>
    </row>
    <row r="557" spans="1:4" x14ac:dyDescent="0.25">
      <c r="A557" s="9" t="s">
        <v>29</v>
      </c>
      <c r="B557" s="9"/>
      <c r="C557" s="9"/>
      <c r="D557" s="9"/>
    </row>
    <row r="558" spans="1:4" x14ac:dyDescent="0.25">
      <c r="A558" s="9" t="s">
        <v>30</v>
      </c>
      <c r="B558" s="9"/>
      <c r="C558" s="9"/>
      <c r="D558" s="9"/>
    </row>
    <row r="559" spans="1:4" x14ac:dyDescent="0.25">
      <c r="A559" s="9" t="s">
        <v>31</v>
      </c>
      <c r="B559" s="9"/>
      <c r="C559" s="9"/>
      <c r="D559" s="9"/>
    </row>
    <row r="560" spans="1:4" x14ac:dyDescent="0.25">
      <c r="A560" s="9" t="s">
        <v>32</v>
      </c>
      <c r="B560" s="9"/>
      <c r="C560" s="9"/>
      <c r="D560" s="9"/>
    </row>
    <row r="561" spans="1:4" x14ac:dyDescent="0.25">
      <c r="A561" s="9" t="s">
        <v>33</v>
      </c>
      <c r="B561" s="9"/>
      <c r="C561" s="9"/>
      <c r="D561" s="9"/>
    </row>
    <row r="562" spans="1:4" x14ac:dyDescent="0.25">
      <c r="A562" s="9" t="s">
        <v>34</v>
      </c>
      <c r="B562" s="9"/>
      <c r="C562" s="9"/>
      <c r="D562" s="9"/>
    </row>
    <row r="563" spans="1:4" x14ac:dyDescent="0.25">
      <c r="A563" s="9" t="s">
        <v>35</v>
      </c>
      <c r="B563" s="9"/>
      <c r="C563" s="9"/>
      <c r="D563" s="9"/>
    </row>
    <row r="564" spans="1:4" x14ac:dyDescent="0.25">
      <c r="A564" s="9" t="s">
        <v>36</v>
      </c>
      <c r="B564" s="9"/>
      <c r="C564" s="9"/>
      <c r="D564" s="9"/>
    </row>
    <row r="565" spans="1:4" x14ac:dyDescent="0.25">
      <c r="A565" s="9" t="s">
        <v>37</v>
      </c>
      <c r="B565" s="9"/>
      <c r="C565" s="9"/>
      <c r="D565" s="9"/>
    </row>
    <row r="566" spans="1:4" x14ac:dyDescent="0.25">
      <c r="A566" s="9" t="s">
        <v>38</v>
      </c>
      <c r="B566" s="9"/>
      <c r="C566" s="9"/>
      <c r="D566" s="9"/>
    </row>
    <row r="567" spans="1:4" x14ac:dyDescent="0.25">
      <c r="A567" s="9" t="s">
        <v>40</v>
      </c>
      <c r="B567" s="9"/>
      <c r="C567" s="9"/>
      <c r="D567" s="9"/>
    </row>
    <row r="568" spans="1:4" x14ac:dyDescent="0.25">
      <c r="A568" s="9" t="s">
        <v>39</v>
      </c>
      <c r="B568" s="9"/>
      <c r="C568" s="9"/>
      <c r="D568" s="9"/>
    </row>
    <row r="578" spans="1:14" x14ac:dyDescent="0.25">
      <c r="M578">
        <v>375.3</v>
      </c>
      <c r="N578">
        <v>13.09</v>
      </c>
    </row>
    <row r="579" spans="1:14" x14ac:dyDescent="0.25">
      <c r="K579">
        <f>45917.68-2622.84-102.42-9277.38-4438.6</f>
        <v>29476.440000000002</v>
      </c>
      <c r="L579">
        <f>38318.02-2205.49-85.35-7731.15-3732.33</f>
        <v>24563.699999999997</v>
      </c>
      <c r="M579">
        <f>M578*N578*6</f>
        <v>29476.061999999998</v>
      </c>
    </row>
    <row r="582" spans="1:14" x14ac:dyDescent="0.25">
      <c r="A582" t="s">
        <v>9</v>
      </c>
    </row>
    <row r="584" spans="1:14" x14ac:dyDescent="0.25">
      <c r="A584" t="s">
        <v>10</v>
      </c>
      <c r="B584" t="s">
        <v>11</v>
      </c>
    </row>
    <row r="592" spans="1:14" ht="15.75" x14ac:dyDescent="0.25">
      <c r="B592" s="4" t="s">
        <v>4</v>
      </c>
      <c r="C592" s="4"/>
    </row>
    <row r="593" spans="1:4" ht="15.75" x14ac:dyDescent="0.25">
      <c r="B593" s="4" t="s">
        <v>5</v>
      </c>
      <c r="C593" s="4"/>
    </row>
    <row r="594" spans="1:4" x14ac:dyDescent="0.25">
      <c r="A594" s="5" t="s">
        <v>25</v>
      </c>
      <c r="B594" s="5"/>
      <c r="C594" s="5"/>
      <c r="D594" s="5"/>
    </row>
    <row r="595" spans="1:4" x14ac:dyDescent="0.25">
      <c r="A595" s="5"/>
      <c r="B595" s="5" t="s">
        <v>6</v>
      </c>
      <c r="C595" s="5"/>
      <c r="D595" s="5"/>
    </row>
    <row r="596" spans="1:4" x14ac:dyDescent="0.25">
      <c r="A596" s="8" t="s">
        <v>18</v>
      </c>
      <c r="B596" s="8" t="s">
        <v>21</v>
      </c>
      <c r="C596" s="6">
        <v>18</v>
      </c>
    </row>
    <row r="599" spans="1:4" ht="30" x14ac:dyDescent="0.25">
      <c r="A599" s="1" t="s">
        <v>0</v>
      </c>
      <c r="B599" s="2" t="s">
        <v>1</v>
      </c>
      <c r="C599" s="2" t="s">
        <v>2</v>
      </c>
      <c r="D599" s="2" t="s">
        <v>3</v>
      </c>
    </row>
    <row r="600" spans="1:4" x14ac:dyDescent="0.25">
      <c r="A600" s="3" t="s">
        <v>26</v>
      </c>
      <c r="B600" s="1">
        <f>K438</f>
        <v>29931.840000000004</v>
      </c>
      <c r="C600" s="1">
        <f>L438</f>
        <v>15577.200000000004</v>
      </c>
      <c r="D600" s="1">
        <f>M438</f>
        <v>29931.594000000001</v>
      </c>
    </row>
    <row r="601" spans="1:4" x14ac:dyDescent="0.25">
      <c r="A601" s="14" t="s">
        <v>8</v>
      </c>
      <c r="B601" s="15"/>
      <c r="C601" s="16"/>
      <c r="D601" s="1">
        <f>B600-D600</f>
        <v>0.24600000000282307</v>
      </c>
    </row>
    <row r="603" spans="1:4" x14ac:dyDescent="0.25">
      <c r="A603" s="5" t="s">
        <v>27</v>
      </c>
    </row>
    <row r="605" spans="1:4" x14ac:dyDescent="0.25">
      <c r="A605" s="9" t="s">
        <v>28</v>
      </c>
    </row>
    <row r="606" spans="1:4" x14ac:dyDescent="0.25">
      <c r="A606" s="9" t="s">
        <v>29</v>
      </c>
      <c r="B606" s="9"/>
      <c r="C606" s="9"/>
      <c r="D606" s="9"/>
    </row>
    <row r="607" spans="1:4" x14ac:dyDescent="0.25">
      <c r="A607" s="9" t="s">
        <v>30</v>
      </c>
      <c r="B607" s="9"/>
      <c r="C607" s="9"/>
      <c r="D607" s="9"/>
    </row>
    <row r="608" spans="1:4" x14ac:dyDescent="0.25">
      <c r="A608" s="9" t="s">
        <v>31</v>
      </c>
      <c r="B608" s="9"/>
      <c r="C608" s="9"/>
      <c r="D608" s="9"/>
    </row>
    <row r="609" spans="1:14" x14ac:dyDescent="0.25">
      <c r="A609" s="9" t="s">
        <v>32</v>
      </c>
      <c r="B609" s="9"/>
      <c r="C609" s="9"/>
      <c r="D609" s="9"/>
    </row>
    <row r="610" spans="1:14" x14ac:dyDescent="0.25">
      <c r="A610" s="9" t="s">
        <v>33</v>
      </c>
      <c r="B610" s="9"/>
      <c r="C610" s="9"/>
      <c r="D610" s="9"/>
    </row>
    <row r="611" spans="1:14" x14ac:dyDescent="0.25">
      <c r="A611" s="9" t="s">
        <v>34</v>
      </c>
      <c r="B611" s="9"/>
      <c r="C611" s="9"/>
      <c r="D611" s="9"/>
    </row>
    <row r="612" spans="1:14" x14ac:dyDescent="0.25">
      <c r="A612" s="9" t="s">
        <v>35</v>
      </c>
      <c r="B612" s="9"/>
      <c r="C612" s="9"/>
      <c r="D612" s="9"/>
    </row>
    <row r="613" spans="1:14" x14ac:dyDescent="0.25">
      <c r="A613" s="9" t="s">
        <v>36</v>
      </c>
      <c r="B613" s="9"/>
      <c r="C613" s="9"/>
      <c r="D613" s="9"/>
      <c r="M613">
        <v>488.4</v>
      </c>
      <c r="N613">
        <v>13.09</v>
      </c>
    </row>
    <row r="614" spans="1:14" x14ac:dyDescent="0.25">
      <c r="A614" s="9" t="s">
        <v>37</v>
      </c>
      <c r="B614" s="9"/>
      <c r="C614" s="9"/>
      <c r="D614" s="9"/>
      <c r="K614">
        <f>64724.97-5213.64-173.28-12093.06-8822.97</f>
        <v>38422.020000000004</v>
      </c>
      <c r="L614">
        <f>48335.16-3741.04-130.79-9128.7-6330.92</f>
        <v>29003.710000000006</v>
      </c>
      <c r="M614">
        <f>M613*N613*6</f>
        <v>38358.936000000002</v>
      </c>
    </row>
    <row r="615" spans="1:14" x14ac:dyDescent="0.25">
      <c r="A615" s="9" t="s">
        <v>38</v>
      </c>
      <c r="B615" s="9"/>
      <c r="C615" s="9"/>
      <c r="D615" s="9"/>
    </row>
    <row r="616" spans="1:14" x14ac:dyDescent="0.25">
      <c r="A616" s="9" t="s">
        <v>40</v>
      </c>
      <c r="B616" s="9"/>
      <c r="C616" s="9"/>
      <c r="D616" s="9"/>
    </row>
    <row r="617" spans="1:14" x14ac:dyDescent="0.25">
      <c r="A617" s="9" t="s">
        <v>39</v>
      </c>
      <c r="B617" s="9"/>
      <c r="C617" s="9"/>
      <c r="D617" s="9"/>
    </row>
    <row r="631" spans="1:2" x14ac:dyDescent="0.25">
      <c r="A631" t="s">
        <v>9</v>
      </c>
    </row>
    <row r="633" spans="1:2" x14ac:dyDescent="0.25">
      <c r="A633" t="s">
        <v>10</v>
      </c>
      <c r="B633" t="s">
        <v>11</v>
      </c>
    </row>
    <row r="641" spans="1:14" ht="15.75" x14ac:dyDescent="0.25">
      <c r="B641" s="4" t="s">
        <v>4</v>
      </c>
      <c r="C641" s="4"/>
    </row>
    <row r="642" spans="1:14" ht="15.75" x14ac:dyDescent="0.25">
      <c r="B642" s="4" t="s">
        <v>5</v>
      </c>
      <c r="C642" s="4"/>
    </row>
    <row r="643" spans="1:14" x14ac:dyDescent="0.25">
      <c r="A643" s="5" t="s">
        <v>25</v>
      </c>
      <c r="B643" s="5"/>
      <c r="C643" s="5"/>
      <c r="D643" s="5"/>
    </row>
    <row r="644" spans="1:14" x14ac:dyDescent="0.25">
      <c r="A644" s="5"/>
      <c r="B644" s="5" t="s">
        <v>6</v>
      </c>
      <c r="C644" s="5"/>
      <c r="D644" s="5"/>
    </row>
    <row r="645" spans="1:14" x14ac:dyDescent="0.25">
      <c r="A645" s="8" t="s">
        <v>18</v>
      </c>
      <c r="B645" s="8" t="s">
        <v>21</v>
      </c>
      <c r="C645" s="6" t="s">
        <v>23</v>
      </c>
    </row>
    <row r="648" spans="1:14" ht="30" x14ac:dyDescent="0.25">
      <c r="A648" s="1" t="s">
        <v>0</v>
      </c>
      <c r="B648" s="2" t="s">
        <v>1</v>
      </c>
      <c r="C648" s="2" t="s">
        <v>2</v>
      </c>
      <c r="D648" s="2" t="s">
        <v>3</v>
      </c>
    </row>
    <row r="649" spans="1:14" x14ac:dyDescent="0.25">
      <c r="A649" s="3" t="s">
        <v>26</v>
      </c>
      <c r="B649" s="1">
        <f>K473</f>
        <v>118781.45999999999</v>
      </c>
      <c r="C649" s="1">
        <f>L473</f>
        <v>83211.540000000008</v>
      </c>
      <c r="D649" s="10">
        <f>M473</f>
        <v>118780.34399999998</v>
      </c>
      <c r="M649">
        <v>533</v>
      </c>
      <c r="N649">
        <v>13.09</v>
      </c>
    </row>
    <row r="650" spans="1:14" x14ac:dyDescent="0.25">
      <c r="A650" s="14" t="s">
        <v>8</v>
      </c>
      <c r="B650" s="15"/>
      <c r="C650" s="16"/>
      <c r="D650" s="10">
        <f>B649-D649</f>
        <v>1.1160000000090804</v>
      </c>
      <c r="K650">
        <f>76317.82-7868.95-94.56-13175.82-13316.55</f>
        <v>41861.940000000017</v>
      </c>
      <c r="L650">
        <f>58367.76-6116.29-71.85-10013.7-10350.57</f>
        <v>31815.35</v>
      </c>
      <c r="M650">
        <f>M649*N649*6</f>
        <v>41861.82</v>
      </c>
    </row>
    <row r="652" spans="1:14" x14ac:dyDescent="0.25">
      <c r="A652" s="5" t="s">
        <v>27</v>
      </c>
    </row>
    <row r="654" spans="1:14" x14ac:dyDescent="0.25">
      <c r="A654" s="9" t="s">
        <v>28</v>
      </c>
    </row>
    <row r="655" spans="1:14" x14ac:dyDescent="0.25">
      <c r="A655" s="9" t="s">
        <v>29</v>
      </c>
      <c r="B655" s="9"/>
      <c r="C655" s="9"/>
      <c r="D655" s="9"/>
    </row>
    <row r="656" spans="1:14" x14ac:dyDescent="0.25">
      <c r="A656" s="9" t="s">
        <v>30</v>
      </c>
      <c r="B656" s="9"/>
      <c r="C656" s="9"/>
      <c r="D656" s="9"/>
    </row>
    <row r="657" spans="1:4" x14ac:dyDescent="0.25">
      <c r="A657" s="9" t="s">
        <v>31</v>
      </c>
      <c r="B657" s="9"/>
      <c r="C657" s="9"/>
      <c r="D657" s="9"/>
    </row>
    <row r="658" spans="1:4" x14ac:dyDescent="0.25">
      <c r="A658" s="9" t="s">
        <v>32</v>
      </c>
      <c r="B658" s="9"/>
      <c r="C658" s="9"/>
      <c r="D658" s="9"/>
    </row>
    <row r="659" spans="1:4" x14ac:dyDescent="0.25">
      <c r="A659" s="9" t="s">
        <v>33</v>
      </c>
      <c r="B659" s="9"/>
      <c r="C659" s="9"/>
      <c r="D659" s="9"/>
    </row>
    <row r="660" spans="1:4" x14ac:dyDescent="0.25">
      <c r="A660" s="9" t="s">
        <v>34</v>
      </c>
      <c r="B660" s="9"/>
      <c r="C660" s="9"/>
      <c r="D660" s="9"/>
    </row>
    <row r="661" spans="1:4" x14ac:dyDescent="0.25">
      <c r="A661" s="9" t="s">
        <v>35</v>
      </c>
      <c r="B661" s="9"/>
      <c r="C661" s="9"/>
      <c r="D661" s="9"/>
    </row>
    <row r="662" spans="1:4" x14ac:dyDescent="0.25">
      <c r="A662" s="9" t="s">
        <v>36</v>
      </c>
      <c r="B662" s="9"/>
      <c r="C662" s="9"/>
      <c r="D662" s="9"/>
    </row>
    <row r="663" spans="1:4" x14ac:dyDescent="0.25">
      <c r="A663" s="9" t="s">
        <v>37</v>
      </c>
      <c r="B663" s="9"/>
      <c r="C663" s="9"/>
      <c r="D663" s="9"/>
    </row>
    <row r="664" spans="1:4" x14ac:dyDescent="0.25">
      <c r="A664" s="9" t="s">
        <v>38</v>
      </c>
      <c r="B664" s="9"/>
      <c r="C664" s="9"/>
      <c r="D664" s="9"/>
    </row>
    <row r="665" spans="1:4" x14ac:dyDescent="0.25">
      <c r="A665" s="9" t="s">
        <v>40</v>
      </c>
      <c r="B665" s="9"/>
      <c r="C665" s="9"/>
      <c r="D665" s="9"/>
    </row>
    <row r="666" spans="1:4" x14ac:dyDescent="0.25">
      <c r="A666" s="9" t="s">
        <v>39</v>
      </c>
      <c r="B666" s="9"/>
      <c r="C666" s="9"/>
      <c r="D666" s="9"/>
    </row>
    <row r="680" spans="1:14" x14ac:dyDescent="0.25">
      <c r="A680" t="s">
        <v>9</v>
      </c>
    </row>
    <row r="682" spans="1:14" x14ac:dyDescent="0.25">
      <c r="A682" t="s">
        <v>10</v>
      </c>
      <c r="B682" t="s">
        <v>11</v>
      </c>
    </row>
    <row r="685" spans="1:14" x14ac:dyDescent="0.25">
      <c r="M685">
        <v>908.6</v>
      </c>
      <c r="N685">
        <v>13.14</v>
      </c>
    </row>
    <row r="686" spans="1:14" x14ac:dyDescent="0.25">
      <c r="K686">
        <f>127730.54-10960.7-310.38-26276.64-18547.98</f>
        <v>71634.84</v>
      </c>
      <c r="L686">
        <f>102534.66-8794.65-249.16-21096.23-14882.55</f>
        <v>57512.070000000007</v>
      </c>
      <c r="M686">
        <f>M685*N685*6</f>
        <v>71634.024000000005</v>
      </c>
    </row>
    <row r="690" spans="1:4" ht="15.75" x14ac:dyDescent="0.25">
      <c r="B690" s="4" t="s">
        <v>4</v>
      </c>
      <c r="C690" s="4"/>
    </row>
    <row r="691" spans="1:4" ht="15.75" x14ac:dyDescent="0.25">
      <c r="B691" s="4" t="s">
        <v>5</v>
      </c>
      <c r="C691" s="4"/>
    </row>
    <row r="692" spans="1:4" x14ac:dyDescent="0.25">
      <c r="A692" s="5" t="s">
        <v>25</v>
      </c>
      <c r="B692" s="5"/>
      <c r="C692" s="5"/>
      <c r="D692" s="5"/>
    </row>
    <row r="693" spans="1:4" x14ac:dyDescent="0.25">
      <c r="A693" s="5"/>
      <c r="B693" s="5" t="s">
        <v>6</v>
      </c>
      <c r="C693" s="5"/>
      <c r="D693" s="5"/>
    </row>
    <row r="694" spans="1:4" x14ac:dyDescent="0.25">
      <c r="A694" s="8" t="s">
        <v>18</v>
      </c>
      <c r="B694" s="8" t="s">
        <v>21</v>
      </c>
      <c r="C694" s="6">
        <v>20</v>
      </c>
    </row>
    <row r="697" spans="1:4" ht="30" x14ac:dyDescent="0.25">
      <c r="A697" s="1" t="s">
        <v>0</v>
      </c>
      <c r="B697" s="2" t="s">
        <v>1</v>
      </c>
      <c r="C697" s="2" t="s">
        <v>2</v>
      </c>
      <c r="D697" s="2" t="s">
        <v>3</v>
      </c>
    </row>
    <row r="698" spans="1:4" x14ac:dyDescent="0.25">
      <c r="A698" s="3" t="s">
        <v>26</v>
      </c>
      <c r="B698" s="1">
        <f>K508</f>
        <v>43385.820000000007</v>
      </c>
      <c r="C698" s="1">
        <f>L508</f>
        <v>27896.699999999997</v>
      </c>
      <c r="D698" s="1">
        <f>M508</f>
        <v>43385.495999999999</v>
      </c>
    </row>
    <row r="699" spans="1:4" x14ac:dyDescent="0.25">
      <c r="A699" s="14" t="s">
        <v>8</v>
      </c>
      <c r="B699" s="15"/>
      <c r="C699" s="16"/>
      <c r="D699" s="1">
        <f>B698-D698</f>
        <v>0.32400000000779983</v>
      </c>
    </row>
    <row r="701" spans="1:4" x14ac:dyDescent="0.25">
      <c r="A701" s="5" t="s">
        <v>27</v>
      </c>
    </row>
    <row r="703" spans="1:4" x14ac:dyDescent="0.25">
      <c r="A703" s="9" t="s">
        <v>28</v>
      </c>
    </row>
    <row r="704" spans="1:4" x14ac:dyDescent="0.25">
      <c r="A704" s="9" t="s">
        <v>29</v>
      </c>
      <c r="B704" s="9"/>
      <c r="C704" s="9"/>
      <c r="D704" s="9"/>
    </row>
    <row r="705" spans="1:14" x14ac:dyDescent="0.25">
      <c r="A705" s="9" t="s">
        <v>30</v>
      </c>
      <c r="B705" s="9"/>
      <c r="C705" s="9"/>
      <c r="D705" s="9"/>
    </row>
    <row r="706" spans="1:14" x14ac:dyDescent="0.25">
      <c r="A706" s="9" t="s">
        <v>31</v>
      </c>
      <c r="B706" s="9"/>
      <c r="C706" s="9"/>
      <c r="D706" s="9"/>
    </row>
    <row r="707" spans="1:14" x14ac:dyDescent="0.25">
      <c r="A707" s="9" t="s">
        <v>32</v>
      </c>
      <c r="B707" s="9"/>
      <c r="C707" s="9"/>
      <c r="D707" s="9"/>
    </row>
    <row r="708" spans="1:14" x14ac:dyDescent="0.25">
      <c r="A708" s="9" t="s">
        <v>33</v>
      </c>
      <c r="B708" s="9"/>
      <c r="C708" s="9"/>
      <c r="D708" s="9"/>
    </row>
    <row r="709" spans="1:14" x14ac:dyDescent="0.25">
      <c r="A709" s="9" t="s">
        <v>34</v>
      </c>
      <c r="B709" s="9"/>
      <c r="C709" s="9"/>
      <c r="D709" s="9"/>
    </row>
    <row r="710" spans="1:14" x14ac:dyDescent="0.25">
      <c r="A710" s="9" t="s">
        <v>35</v>
      </c>
      <c r="B710" s="9"/>
      <c r="C710" s="9"/>
      <c r="D710" s="9"/>
    </row>
    <row r="711" spans="1:14" x14ac:dyDescent="0.25">
      <c r="A711" s="9" t="s">
        <v>36</v>
      </c>
      <c r="B711" s="9"/>
      <c r="C711" s="9"/>
      <c r="D711" s="9"/>
    </row>
    <row r="712" spans="1:14" x14ac:dyDescent="0.25">
      <c r="A712" s="9" t="s">
        <v>37</v>
      </c>
      <c r="B712" s="9"/>
      <c r="C712" s="9"/>
      <c r="D712" s="9"/>
    </row>
    <row r="713" spans="1:14" x14ac:dyDescent="0.25">
      <c r="A713" s="9" t="s">
        <v>38</v>
      </c>
      <c r="B713" s="9"/>
      <c r="C713" s="9"/>
      <c r="D713" s="9"/>
    </row>
    <row r="714" spans="1:14" x14ac:dyDescent="0.25">
      <c r="A714" s="9" t="s">
        <v>40</v>
      </c>
      <c r="B714" s="9"/>
      <c r="C714" s="9"/>
      <c r="D714" s="9"/>
    </row>
    <row r="715" spans="1:14" x14ac:dyDescent="0.25">
      <c r="A715" s="9" t="s">
        <v>39</v>
      </c>
      <c r="B715" s="9"/>
      <c r="C715" s="9"/>
      <c r="D715" s="9"/>
    </row>
    <row r="720" spans="1:14" x14ac:dyDescent="0.25">
      <c r="M720">
        <v>891</v>
      </c>
      <c r="N720">
        <v>1584</v>
      </c>
    </row>
    <row r="721" spans="1:14" x14ac:dyDescent="0.25">
      <c r="K721">
        <f>151958.66-20664.45-310.26-25767.54-34968.95</f>
        <v>70247.460000000006</v>
      </c>
      <c r="L721">
        <f>113557.9-14136.41-243.2-20196.49-23922.08</f>
        <v>55059.719999999987</v>
      </c>
      <c r="M721">
        <f>13.14*M720*6</f>
        <v>70246.44</v>
      </c>
      <c r="N721">
        <f>13.14*N720*6</f>
        <v>124882.56000000001</v>
      </c>
    </row>
    <row r="729" spans="1:14" x14ac:dyDescent="0.25">
      <c r="A729" t="s">
        <v>9</v>
      </c>
    </row>
    <row r="731" spans="1:14" x14ac:dyDescent="0.25">
      <c r="A731" t="s">
        <v>10</v>
      </c>
      <c r="B731" t="s">
        <v>11</v>
      </c>
    </row>
    <row r="739" spans="1:4" ht="15.75" x14ac:dyDescent="0.25">
      <c r="B739" s="4" t="s">
        <v>4</v>
      </c>
      <c r="C739" s="4"/>
    </row>
    <row r="740" spans="1:4" ht="15.75" x14ac:dyDescent="0.25">
      <c r="B740" s="4" t="s">
        <v>5</v>
      </c>
      <c r="C740" s="4"/>
    </row>
    <row r="741" spans="1:4" x14ac:dyDescent="0.25">
      <c r="A741" s="5" t="s">
        <v>25</v>
      </c>
      <c r="B741" s="5"/>
      <c r="C741" s="5"/>
      <c r="D741" s="5"/>
    </row>
    <row r="742" spans="1:4" x14ac:dyDescent="0.25">
      <c r="A742" s="5"/>
      <c r="B742" s="5" t="s">
        <v>6</v>
      </c>
      <c r="C742" s="5"/>
      <c r="D742" s="5"/>
    </row>
    <row r="743" spans="1:4" x14ac:dyDescent="0.25">
      <c r="A743" s="8" t="s">
        <v>18</v>
      </c>
      <c r="B743" s="8" t="s">
        <v>21</v>
      </c>
      <c r="C743" s="6">
        <v>20</v>
      </c>
    </row>
    <row r="746" spans="1:4" ht="30" x14ac:dyDescent="0.25">
      <c r="A746" s="1" t="s">
        <v>0</v>
      </c>
      <c r="B746" s="2" t="s">
        <v>1</v>
      </c>
      <c r="C746" s="2" t="s">
        <v>2</v>
      </c>
      <c r="D746" s="2" t="s">
        <v>3</v>
      </c>
    </row>
    <row r="747" spans="1:4" x14ac:dyDescent="0.25">
      <c r="A747" s="3" t="s">
        <v>26</v>
      </c>
      <c r="B747" s="1">
        <f>K544</f>
        <v>43385.820000000007</v>
      </c>
      <c r="C747" s="1">
        <f>L544</f>
        <v>27896.699999999997</v>
      </c>
      <c r="D747" s="1">
        <f>M544</f>
        <v>43385.495999999999</v>
      </c>
    </row>
    <row r="748" spans="1:4" x14ac:dyDescent="0.25">
      <c r="A748" s="14" t="s">
        <v>8</v>
      </c>
      <c r="B748" s="15"/>
      <c r="C748" s="16"/>
      <c r="D748" s="1">
        <f>B747-D747</f>
        <v>0.32400000000779983</v>
      </c>
    </row>
    <row r="750" spans="1:4" x14ac:dyDescent="0.25">
      <c r="A750" s="5" t="s">
        <v>27</v>
      </c>
    </row>
    <row r="752" spans="1:4" x14ac:dyDescent="0.25">
      <c r="A752" s="9" t="s">
        <v>28</v>
      </c>
    </row>
    <row r="753" spans="1:14" x14ac:dyDescent="0.25">
      <c r="A753" s="9" t="s">
        <v>29</v>
      </c>
      <c r="B753" s="9"/>
      <c r="C753" s="9"/>
      <c r="D753" s="9"/>
    </row>
    <row r="754" spans="1:14" x14ac:dyDescent="0.25">
      <c r="A754" s="9" t="s">
        <v>30</v>
      </c>
      <c r="B754" s="9"/>
      <c r="C754" s="9"/>
      <c r="D754" s="9"/>
    </row>
    <row r="755" spans="1:14" x14ac:dyDescent="0.25">
      <c r="A755" s="9" t="s">
        <v>31</v>
      </c>
      <c r="B755" s="9"/>
      <c r="C755" s="9"/>
      <c r="D755" s="9"/>
    </row>
    <row r="756" spans="1:14" x14ac:dyDescent="0.25">
      <c r="A756" s="9" t="s">
        <v>32</v>
      </c>
      <c r="B756" s="9"/>
      <c r="C756" s="9"/>
      <c r="D756" s="9"/>
    </row>
    <row r="757" spans="1:14" x14ac:dyDescent="0.25">
      <c r="A757" s="9" t="s">
        <v>33</v>
      </c>
      <c r="B757" s="9"/>
      <c r="C757" s="9"/>
      <c r="D757" s="9"/>
    </row>
    <row r="758" spans="1:14" x14ac:dyDescent="0.25">
      <c r="A758" s="9" t="s">
        <v>34</v>
      </c>
      <c r="B758" s="9"/>
      <c r="C758" s="9"/>
      <c r="D758" s="9"/>
      <c r="M758">
        <v>910.1</v>
      </c>
      <c r="N758">
        <v>13.09</v>
      </c>
    </row>
    <row r="759" spans="1:14" x14ac:dyDescent="0.25">
      <c r="A759" s="9" t="s">
        <v>35</v>
      </c>
      <c r="B759" s="9"/>
      <c r="C759" s="9"/>
      <c r="D759" s="9"/>
      <c r="K759">
        <f>157452.61-21909.87-338.4-26647.86-37076.86</f>
        <v>71479.62</v>
      </c>
      <c r="L759">
        <f>124402.06-16803.01-272.07-21424.22-28434.91</f>
        <v>57467.849999999991</v>
      </c>
      <c r="M759">
        <f>M758*N758*6</f>
        <v>71479.254000000001</v>
      </c>
    </row>
    <row r="760" spans="1:14" x14ac:dyDescent="0.25">
      <c r="A760" s="9" t="s">
        <v>36</v>
      </c>
      <c r="B760" s="9"/>
      <c r="C760" s="9"/>
      <c r="D760" s="9"/>
    </row>
    <row r="761" spans="1:14" x14ac:dyDescent="0.25">
      <c r="A761" s="9" t="s">
        <v>37</v>
      </c>
      <c r="B761" s="9"/>
      <c r="C761" s="9"/>
      <c r="D761" s="9"/>
    </row>
    <row r="762" spans="1:14" x14ac:dyDescent="0.25">
      <c r="A762" s="9" t="s">
        <v>38</v>
      </c>
      <c r="B762" s="9"/>
      <c r="C762" s="9"/>
      <c r="D762" s="9"/>
    </row>
    <row r="763" spans="1:14" x14ac:dyDescent="0.25">
      <c r="A763" s="9" t="s">
        <v>40</v>
      </c>
      <c r="B763" s="9"/>
      <c r="C763" s="9"/>
      <c r="D763" s="9"/>
    </row>
    <row r="764" spans="1:14" x14ac:dyDescent="0.25">
      <c r="A764" s="9" t="s">
        <v>39</v>
      </c>
      <c r="B764" s="9"/>
      <c r="C764" s="9"/>
      <c r="D764" s="9"/>
    </row>
    <row r="778" spans="1:2" x14ac:dyDescent="0.25">
      <c r="A778" t="s">
        <v>9</v>
      </c>
    </row>
    <row r="780" spans="1:2" x14ac:dyDescent="0.25">
      <c r="A780" t="s">
        <v>10</v>
      </c>
      <c r="B780" t="s">
        <v>11</v>
      </c>
    </row>
    <row r="788" spans="1:14" ht="15.75" x14ac:dyDescent="0.25">
      <c r="B788" s="4" t="s">
        <v>4</v>
      </c>
      <c r="C788" s="4"/>
    </row>
    <row r="789" spans="1:14" ht="15.75" x14ac:dyDescent="0.25">
      <c r="B789" s="4" t="s">
        <v>5</v>
      </c>
      <c r="C789" s="4"/>
    </row>
    <row r="790" spans="1:14" x14ac:dyDescent="0.25">
      <c r="A790" s="5" t="s">
        <v>25</v>
      </c>
      <c r="B790" s="5"/>
      <c r="C790" s="5"/>
      <c r="D790" s="5"/>
    </row>
    <row r="791" spans="1:14" x14ac:dyDescent="0.25">
      <c r="A791" s="5"/>
      <c r="B791" s="5" t="s">
        <v>6</v>
      </c>
      <c r="C791" s="5"/>
      <c r="D791" s="5"/>
    </row>
    <row r="792" spans="1:14" x14ac:dyDescent="0.25">
      <c r="A792" s="8" t="s">
        <v>18</v>
      </c>
      <c r="B792" s="8" t="s">
        <v>21</v>
      </c>
      <c r="C792" s="6">
        <v>22</v>
      </c>
    </row>
    <row r="794" spans="1:14" x14ac:dyDescent="0.25">
      <c r="M794">
        <v>919.9</v>
      </c>
      <c r="N794">
        <v>13.09</v>
      </c>
    </row>
    <row r="795" spans="1:14" ht="30" x14ac:dyDescent="0.25">
      <c r="A795" s="1" t="s">
        <v>0</v>
      </c>
      <c r="B795" s="2" t="s">
        <v>1</v>
      </c>
      <c r="C795" s="2" t="s">
        <v>2</v>
      </c>
      <c r="D795" s="2" t="s">
        <v>3</v>
      </c>
      <c r="K795">
        <f>148134.97-18062.92-321.42-26934.78-30566.61</f>
        <v>72249.240000000005</v>
      </c>
      <c r="L795">
        <f>117532.21-14108.7-256.95-21532.65-23875.2</f>
        <v>57758.710000000006</v>
      </c>
      <c r="M795">
        <f>M794*N794*6</f>
        <v>72248.945999999996</v>
      </c>
    </row>
    <row r="796" spans="1:14" x14ac:dyDescent="0.25">
      <c r="A796" s="3" t="s">
        <v>26</v>
      </c>
      <c r="B796" s="1">
        <f>K579</f>
        <v>29476.440000000002</v>
      </c>
      <c r="C796" s="1">
        <f>L579</f>
        <v>24563.699999999997</v>
      </c>
      <c r="D796" s="1">
        <f>M579</f>
        <v>29476.061999999998</v>
      </c>
    </row>
    <row r="797" spans="1:14" x14ac:dyDescent="0.25">
      <c r="A797" s="14" t="s">
        <v>8</v>
      </c>
      <c r="B797" s="15"/>
      <c r="C797" s="16"/>
      <c r="D797" s="1">
        <f>B796-D796</f>
        <v>0.37800000000424916</v>
      </c>
    </row>
    <row r="799" spans="1:14" x14ac:dyDescent="0.25">
      <c r="A799" s="5" t="s">
        <v>27</v>
      </c>
    </row>
    <row r="801" spans="1:4" x14ac:dyDescent="0.25">
      <c r="A801" s="9" t="s">
        <v>28</v>
      </c>
    </row>
    <row r="802" spans="1:4" x14ac:dyDescent="0.25">
      <c r="A802" s="9" t="s">
        <v>29</v>
      </c>
      <c r="B802" s="9"/>
      <c r="C802" s="9"/>
      <c r="D802" s="9"/>
    </row>
    <row r="803" spans="1:4" x14ac:dyDescent="0.25">
      <c r="A803" s="9" t="s">
        <v>30</v>
      </c>
      <c r="B803" s="9"/>
      <c r="C803" s="9"/>
      <c r="D803" s="9"/>
    </row>
    <row r="804" spans="1:4" x14ac:dyDescent="0.25">
      <c r="A804" s="9" t="s">
        <v>31</v>
      </c>
      <c r="B804" s="9"/>
      <c r="C804" s="9"/>
      <c r="D804" s="9"/>
    </row>
    <row r="805" spans="1:4" x14ac:dyDescent="0.25">
      <c r="A805" s="9" t="s">
        <v>32</v>
      </c>
      <c r="B805" s="9"/>
      <c r="C805" s="9"/>
      <c r="D805" s="9"/>
    </row>
    <row r="806" spans="1:4" x14ac:dyDescent="0.25">
      <c r="A806" s="9" t="s">
        <v>33</v>
      </c>
      <c r="B806" s="9"/>
      <c r="C806" s="9"/>
      <c r="D806" s="9"/>
    </row>
    <row r="807" spans="1:4" x14ac:dyDescent="0.25">
      <c r="A807" s="9" t="s">
        <v>34</v>
      </c>
      <c r="B807" s="9"/>
      <c r="C807" s="9"/>
      <c r="D807" s="9"/>
    </row>
    <row r="808" spans="1:4" x14ac:dyDescent="0.25">
      <c r="A808" s="9" t="s">
        <v>35</v>
      </c>
      <c r="B808" s="9"/>
      <c r="C808" s="9"/>
      <c r="D808" s="9"/>
    </row>
    <row r="809" spans="1:4" x14ac:dyDescent="0.25">
      <c r="A809" s="9" t="s">
        <v>36</v>
      </c>
      <c r="B809" s="9"/>
      <c r="C809" s="9"/>
      <c r="D809" s="9"/>
    </row>
    <row r="810" spans="1:4" x14ac:dyDescent="0.25">
      <c r="A810" s="9" t="s">
        <v>37</v>
      </c>
      <c r="B810" s="9"/>
      <c r="C810" s="9"/>
      <c r="D810" s="9"/>
    </row>
    <row r="811" spans="1:4" x14ac:dyDescent="0.25">
      <c r="A811" s="9" t="s">
        <v>38</v>
      </c>
      <c r="B811" s="9"/>
      <c r="C811" s="9"/>
      <c r="D811" s="9"/>
    </row>
    <row r="812" spans="1:4" x14ac:dyDescent="0.25">
      <c r="A812" s="9" t="s">
        <v>40</v>
      </c>
      <c r="B812" s="9"/>
      <c r="C812" s="9"/>
      <c r="D812" s="9"/>
    </row>
    <row r="813" spans="1:4" x14ac:dyDescent="0.25">
      <c r="A813" s="9" t="s">
        <v>39</v>
      </c>
      <c r="B813" s="9"/>
      <c r="C813" s="9"/>
      <c r="D813" s="9"/>
    </row>
    <row r="827" spans="1:14" x14ac:dyDescent="0.25">
      <c r="A827" t="s">
        <v>9</v>
      </c>
    </row>
    <row r="829" spans="1:14" x14ac:dyDescent="0.25">
      <c r="A829" t="s">
        <v>10</v>
      </c>
      <c r="B829" t="s">
        <v>11</v>
      </c>
    </row>
    <row r="830" spans="1:14" x14ac:dyDescent="0.25">
      <c r="M830">
        <v>898.7</v>
      </c>
      <c r="N830">
        <v>13.09</v>
      </c>
    </row>
    <row r="831" spans="1:14" x14ac:dyDescent="0.25">
      <c r="K831">
        <f>136683.06-14666.09-299.64-26314.08-24818.59</f>
        <v>70584.66</v>
      </c>
      <c r="L831">
        <f>104116.62-11517.59-225.38-19792.25-19490.65</f>
        <v>53090.749999999993</v>
      </c>
      <c r="M831">
        <f>M830*N830*6</f>
        <v>70583.898000000001</v>
      </c>
    </row>
    <row r="837" spans="1:4" ht="15.75" x14ac:dyDescent="0.25">
      <c r="B837" s="4" t="s">
        <v>4</v>
      </c>
      <c r="C837" s="4"/>
    </row>
    <row r="838" spans="1:4" ht="15.75" x14ac:dyDescent="0.25">
      <c r="B838" s="4" t="s">
        <v>5</v>
      </c>
      <c r="C838" s="4"/>
    </row>
    <row r="839" spans="1:4" x14ac:dyDescent="0.25">
      <c r="A839" s="5" t="s">
        <v>25</v>
      </c>
      <c r="B839" s="5"/>
      <c r="C839" s="5"/>
      <c r="D839" s="5"/>
    </row>
    <row r="840" spans="1:4" x14ac:dyDescent="0.25">
      <c r="A840" s="5"/>
      <c r="B840" s="5" t="s">
        <v>6</v>
      </c>
      <c r="C840" s="5"/>
      <c r="D840" s="5"/>
    </row>
    <row r="841" spans="1:4" x14ac:dyDescent="0.25">
      <c r="A841" s="8" t="s">
        <v>18</v>
      </c>
      <c r="B841" s="8" t="s">
        <v>21</v>
      </c>
      <c r="C841" s="6">
        <v>23</v>
      </c>
    </row>
    <row r="844" spans="1:4" ht="30" x14ac:dyDescent="0.25">
      <c r="A844" s="1" t="s">
        <v>0</v>
      </c>
      <c r="B844" s="2" t="s">
        <v>1</v>
      </c>
      <c r="C844" s="2" t="s">
        <v>2</v>
      </c>
      <c r="D844" s="2" t="s">
        <v>3</v>
      </c>
    </row>
    <row r="845" spans="1:4" x14ac:dyDescent="0.25">
      <c r="A845" s="3" t="s">
        <v>26</v>
      </c>
      <c r="B845" s="1">
        <f>K614</f>
        <v>38422.020000000004</v>
      </c>
      <c r="C845" s="1">
        <f>L614</f>
        <v>29003.710000000006</v>
      </c>
      <c r="D845" s="10">
        <f>M614</f>
        <v>38358.936000000002</v>
      </c>
    </row>
    <row r="846" spans="1:4" x14ac:dyDescent="0.25">
      <c r="A846" s="14" t="s">
        <v>8</v>
      </c>
      <c r="B846" s="15"/>
      <c r="C846" s="16"/>
      <c r="D846" s="10">
        <f>B845-D845</f>
        <v>63.084000000002561</v>
      </c>
    </row>
    <row r="848" spans="1:4" x14ac:dyDescent="0.25">
      <c r="A848" s="5" t="s">
        <v>27</v>
      </c>
    </row>
    <row r="850" spans="1:4" x14ac:dyDescent="0.25">
      <c r="A850" s="9" t="s">
        <v>28</v>
      </c>
    </row>
    <row r="851" spans="1:4" x14ac:dyDescent="0.25">
      <c r="A851" s="9" t="s">
        <v>29</v>
      </c>
      <c r="B851" s="9"/>
      <c r="C851" s="9"/>
      <c r="D851" s="9"/>
    </row>
    <row r="852" spans="1:4" x14ac:dyDescent="0.25">
      <c r="A852" s="9" t="s">
        <v>30</v>
      </c>
      <c r="B852" s="9"/>
      <c r="C852" s="9"/>
      <c r="D852" s="9"/>
    </row>
    <row r="853" spans="1:4" x14ac:dyDescent="0.25">
      <c r="A853" s="9" t="s">
        <v>31</v>
      </c>
      <c r="B853" s="9"/>
      <c r="C853" s="9"/>
      <c r="D853" s="9"/>
    </row>
    <row r="854" spans="1:4" x14ac:dyDescent="0.25">
      <c r="A854" s="9" t="s">
        <v>32</v>
      </c>
      <c r="B854" s="9"/>
      <c r="C854" s="9"/>
      <c r="D854" s="9"/>
    </row>
    <row r="855" spans="1:4" x14ac:dyDescent="0.25">
      <c r="A855" s="9" t="s">
        <v>33</v>
      </c>
      <c r="B855" s="9"/>
      <c r="C855" s="9"/>
      <c r="D855" s="9"/>
    </row>
    <row r="856" spans="1:4" x14ac:dyDescent="0.25">
      <c r="A856" s="9" t="s">
        <v>34</v>
      </c>
      <c r="B856" s="9"/>
      <c r="C856" s="9"/>
      <c r="D856" s="9"/>
    </row>
    <row r="857" spans="1:4" x14ac:dyDescent="0.25">
      <c r="A857" s="9" t="s">
        <v>35</v>
      </c>
      <c r="B857" s="9"/>
      <c r="C857" s="9"/>
      <c r="D857" s="9"/>
    </row>
    <row r="858" spans="1:4" x14ac:dyDescent="0.25">
      <c r="A858" s="9" t="s">
        <v>36</v>
      </c>
      <c r="B858" s="9"/>
      <c r="C858" s="9"/>
      <c r="D858" s="9"/>
    </row>
    <row r="859" spans="1:4" x14ac:dyDescent="0.25">
      <c r="A859" s="9" t="s">
        <v>37</v>
      </c>
      <c r="B859" s="9"/>
      <c r="C859" s="9"/>
      <c r="D859" s="9"/>
    </row>
    <row r="860" spans="1:4" x14ac:dyDescent="0.25">
      <c r="A860" s="9" t="s">
        <v>38</v>
      </c>
      <c r="B860" s="9"/>
      <c r="C860" s="9"/>
      <c r="D860" s="9"/>
    </row>
    <row r="861" spans="1:4" x14ac:dyDescent="0.25">
      <c r="A861" s="9" t="s">
        <v>40</v>
      </c>
      <c r="B861" s="9"/>
      <c r="C861" s="9"/>
      <c r="D861" s="9"/>
    </row>
    <row r="862" spans="1:4" x14ac:dyDescent="0.25">
      <c r="A862" s="9" t="s">
        <v>39</v>
      </c>
      <c r="B862" s="9"/>
      <c r="C862" s="9"/>
      <c r="D862" s="9"/>
    </row>
    <row r="866" spans="1:14" x14ac:dyDescent="0.25">
      <c r="M866">
        <v>1508.3</v>
      </c>
      <c r="N866">
        <v>13.14</v>
      </c>
    </row>
    <row r="867" spans="1:14" x14ac:dyDescent="0.25">
      <c r="K867">
        <f>235854.22-31230.48-369.84-32488.8-52849.72</f>
        <v>118915.38</v>
      </c>
      <c r="L867">
        <f>180900.96-23006.39-289.87-25464.99-38932.74</f>
        <v>93206.97000000003</v>
      </c>
      <c r="M867">
        <f>M866*N866*6</f>
        <v>118914.372</v>
      </c>
    </row>
    <row r="876" spans="1:14" x14ac:dyDescent="0.25">
      <c r="A876" t="s">
        <v>9</v>
      </c>
    </row>
    <row r="878" spans="1:14" x14ac:dyDescent="0.25">
      <c r="A878" t="s">
        <v>10</v>
      </c>
      <c r="B878" t="s">
        <v>11</v>
      </c>
    </row>
    <row r="886" spans="1:4" ht="15.75" x14ac:dyDescent="0.25">
      <c r="B886" s="4" t="s">
        <v>4</v>
      </c>
      <c r="C886" s="4"/>
    </row>
    <row r="887" spans="1:4" ht="15.75" x14ac:dyDescent="0.25">
      <c r="B887" s="4" t="s">
        <v>5</v>
      </c>
      <c r="C887" s="4"/>
    </row>
    <row r="888" spans="1:4" x14ac:dyDescent="0.25">
      <c r="A888" s="5" t="s">
        <v>25</v>
      </c>
      <c r="B888" s="5"/>
      <c r="C888" s="5"/>
      <c r="D888" s="5"/>
    </row>
    <row r="889" spans="1:4" x14ac:dyDescent="0.25">
      <c r="A889" s="5"/>
      <c r="B889" s="5" t="s">
        <v>6</v>
      </c>
      <c r="C889" s="5"/>
      <c r="D889" s="5"/>
    </row>
    <row r="890" spans="1:4" x14ac:dyDescent="0.25">
      <c r="A890" s="8" t="s">
        <v>18</v>
      </c>
      <c r="B890" s="8" t="s">
        <v>21</v>
      </c>
      <c r="C890" s="6">
        <v>25</v>
      </c>
    </row>
    <row r="893" spans="1:4" ht="30" x14ac:dyDescent="0.25">
      <c r="A893" s="1" t="s">
        <v>0</v>
      </c>
      <c r="B893" s="2" t="s">
        <v>1</v>
      </c>
      <c r="C893" s="2" t="s">
        <v>2</v>
      </c>
      <c r="D893" s="2" t="s">
        <v>3</v>
      </c>
    </row>
    <row r="894" spans="1:4" x14ac:dyDescent="0.25">
      <c r="A894" s="3" t="s">
        <v>26</v>
      </c>
      <c r="B894" s="1">
        <f>K650</f>
        <v>41861.940000000017</v>
      </c>
      <c r="C894" s="1">
        <f>L650</f>
        <v>31815.35</v>
      </c>
      <c r="D894" s="1">
        <f>M650</f>
        <v>41861.82</v>
      </c>
    </row>
    <row r="895" spans="1:4" x14ac:dyDescent="0.25">
      <c r="A895" s="14" t="s">
        <v>8</v>
      </c>
      <c r="B895" s="15"/>
      <c r="C895" s="16"/>
      <c r="D895" s="1">
        <f>B894-D894</f>
        <v>0.12000000001717126</v>
      </c>
    </row>
    <row r="897" spans="1:14" x14ac:dyDescent="0.25">
      <c r="A897" s="5" t="s">
        <v>27</v>
      </c>
    </row>
    <row r="899" spans="1:14" x14ac:dyDescent="0.25">
      <c r="A899" s="9" t="s">
        <v>28</v>
      </c>
    </row>
    <row r="900" spans="1:14" x14ac:dyDescent="0.25">
      <c r="A900" s="9" t="s">
        <v>29</v>
      </c>
      <c r="B900" s="9"/>
      <c r="C900" s="9"/>
      <c r="D900" s="9"/>
    </row>
    <row r="901" spans="1:14" x14ac:dyDescent="0.25">
      <c r="A901" s="9" t="s">
        <v>30</v>
      </c>
      <c r="B901" s="9"/>
      <c r="C901" s="9"/>
      <c r="D901" s="9"/>
      <c r="M901">
        <v>276.5</v>
      </c>
      <c r="N901">
        <v>12.21</v>
      </c>
    </row>
    <row r="902" spans="1:14" x14ac:dyDescent="0.25">
      <c r="A902" s="9" t="s">
        <v>31</v>
      </c>
      <c r="B902" s="9"/>
      <c r="C902" s="9"/>
      <c r="D902" s="9"/>
      <c r="K902">
        <f>22795.02-2538.24</f>
        <v>20256.78</v>
      </c>
      <c r="L902">
        <f>6479.4-721.5</f>
        <v>5757.9</v>
      </c>
      <c r="M902">
        <f>M901*N901*6</f>
        <v>20256.39</v>
      </c>
    </row>
    <row r="903" spans="1:14" x14ac:dyDescent="0.25">
      <c r="A903" s="9" t="s">
        <v>32</v>
      </c>
      <c r="B903" s="9"/>
      <c r="C903" s="9"/>
      <c r="D903" s="9"/>
    </row>
    <row r="904" spans="1:14" x14ac:dyDescent="0.25">
      <c r="A904" s="9" t="s">
        <v>33</v>
      </c>
      <c r="B904" s="9"/>
      <c r="C904" s="9"/>
      <c r="D904" s="9"/>
    </row>
    <row r="905" spans="1:14" x14ac:dyDescent="0.25">
      <c r="A905" s="9" t="s">
        <v>34</v>
      </c>
      <c r="B905" s="9"/>
      <c r="C905" s="9"/>
      <c r="D905" s="9"/>
    </row>
    <row r="906" spans="1:14" x14ac:dyDescent="0.25">
      <c r="A906" s="9" t="s">
        <v>35</v>
      </c>
      <c r="B906" s="9"/>
      <c r="C906" s="9"/>
      <c r="D906" s="9"/>
    </row>
    <row r="907" spans="1:14" x14ac:dyDescent="0.25">
      <c r="A907" s="9" t="s">
        <v>36</v>
      </c>
      <c r="B907" s="9"/>
      <c r="C907" s="9"/>
      <c r="D907" s="9"/>
    </row>
    <row r="908" spans="1:14" x14ac:dyDescent="0.25">
      <c r="A908" s="9" t="s">
        <v>37</v>
      </c>
      <c r="B908" s="9"/>
      <c r="C908" s="9"/>
      <c r="D908" s="9"/>
    </row>
    <row r="909" spans="1:14" x14ac:dyDescent="0.25">
      <c r="A909" s="9" t="s">
        <v>38</v>
      </c>
      <c r="B909" s="9"/>
      <c r="C909" s="9"/>
      <c r="D909" s="9"/>
    </row>
    <row r="910" spans="1:14" x14ac:dyDescent="0.25">
      <c r="A910" s="9" t="s">
        <v>40</v>
      </c>
      <c r="B910" s="9"/>
      <c r="C910" s="9"/>
      <c r="D910" s="9"/>
    </row>
    <row r="911" spans="1:14" x14ac:dyDescent="0.25">
      <c r="A911" s="9" t="s">
        <v>39</v>
      </c>
      <c r="B911" s="9"/>
      <c r="C911" s="9"/>
      <c r="D911" s="9"/>
    </row>
    <row r="925" spans="1:2" x14ac:dyDescent="0.25">
      <c r="A925" t="s">
        <v>9</v>
      </c>
    </row>
    <row r="927" spans="1:2" x14ac:dyDescent="0.25">
      <c r="A927" t="s">
        <v>10</v>
      </c>
      <c r="B927" t="s">
        <v>11</v>
      </c>
    </row>
    <row r="935" spans="1:4" ht="15.75" x14ac:dyDescent="0.25">
      <c r="B935" s="4" t="s">
        <v>4</v>
      </c>
      <c r="C935" s="4"/>
    </row>
    <row r="936" spans="1:4" ht="15.75" x14ac:dyDescent="0.25">
      <c r="B936" s="4" t="s">
        <v>5</v>
      </c>
      <c r="C936" s="4"/>
    </row>
    <row r="937" spans="1:4" x14ac:dyDescent="0.25">
      <c r="A937" s="5" t="s">
        <v>25</v>
      </c>
      <c r="B937" s="5"/>
      <c r="C937" s="5"/>
      <c r="D937" s="5"/>
    </row>
    <row r="938" spans="1:4" x14ac:dyDescent="0.25">
      <c r="A938" s="5"/>
      <c r="B938" s="5" t="s">
        <v>6</v>
      </c>
      <c r="C938" s="5"/>
      <c r="D938" s="5"/>
    </row>
    <row r="939" spans="1:4" x14ac:dyDescent="0.25">
      <c r="A939" s="8" t="s">
        <v>18</v>
      </c>
      <c r="B939" s="8" t="s">
        <v>21</v>
      </c>
      <c r="C939" s="6">
        <v>26</v>
      </c>
    </row>
    <row r="942" spans="1:4" ht="30" x14ac:dyDescent="0.25">
      <c r="A942" s="1" t="s">
        <v>0</v>
      </c>
      <c r="B942" s="2" t="s">
        <v>1</v>
      </c>
      <c r="C942" s="2" t="s">
        <v>2</v>
      </c>
      <c r="D942" s="2" t="s">
        <v>3</v>
      </c>
    </row>
    <row r="943" spans="1:4" x14ac:dyDescent="0.25">
      <c r="A943" s="3" t="s">
        <v>26</v>
      </c>
      <c r="B943" s="1">
        <f>K686</f>
        <v>71634.84</v>
      </c>
      <c r="C943" s="1">
        <f>L686</f>
        <v>57512.070000000007</v>
      </c>
      <c r="D943" s="1">
        <f>M686</f>
        <v>71634.024000000005</v>
      </c>
    </row>
    <row r="944" spans="1:4" x14ac:dyDescent="0.25">
      <c r="A944" s="14" t="s">
        <v>8</v>
      </c>
      <c r="B944" s="15"/>
      <c r="C944" s="16"/>
      <c r="D944" s="1">
        <f>B943-D943</f>
        <v>0.8159999999916181</v>
      </c>
    </row>
    <row r="946" spans="1:4" x14ac:dyDescent="0.25">
      <c r="A946" s="5" t="s">
        <v>27</v>
      </c>
    </row>
    <row r="948" spans="1:4" x14ac:dyDescent="0.25">
      <c r="A948" s="9" t="s">
        <v>28</v>
      </c>
    </row>
    <row r="949" spans="1:4" x14ac:dyDescent="0.25">
      <c r="A949" s="9" t="s">
        <v>29</v>
      </c>
      <c r="B949" s="9"/>
      <c r="C949" s="9"/>
      <c r="D949" s="9"/>
    </row>
    <row r="950" spans="1:4" x14ac:dyDescent="0.25">
      <c r="A950" s="9" t="s">
        <v>30</v>
      </c>
      <c r="B950" s="9"/>
      <c r="C950" s="9"/>
      <c r="D950" s="9"/>
    </row>
    <row r="951" spans="1:4" x14ac:dyDescent="0.25">
      <c r="A951" s="9" t="s">
        <v>31</v>
      </c>
      <c r="B951" s="9"/>
      <c r="C951" s="9"/>
      <c r="D951" s="9"/>
    </row>
    <row r="952" spans="1:4" x14ac:dyDescent="0.25">
      <c r="A952" s="9" t="s">
        <v>32</v>
      </c>
      <c r="B952" s="9"/>
      <c r="C952" s="9"/>
      <c r="D952" s="9"/>
    </row>
    <row r="953" spans="1:4" x14ac:dyDescent="0.25">
      <c r="A953" s="9" t="s">
        <v>33</v>
      </c>
      <c r="B953" s="9"/>
      <c r="C953" s="9"/>
      <c r="D953" s="9"/>
    </row>
    <row r="954" spans="1:4" x14ac:dyDescent="0.25">
      <c r="A954" s="9" t="s">
        <v>34</v>
      </c>
      <c r="B954" s="9"/>
      <c r="C954" s="9"/>
      <c r="D954" s="9"/>
    </row>
    <row r="955" spans="1:4" x14ac:dyDescent="0.25">
      <c r="A955" s="9" t="s">
        <v>35</v>
      </c>
      <c r="B955" s="9"/>
      <c r="C955" s="9"/>
      <c r="D955" s="9"/>
    </row>
    <row r="956" spans="1:4" x14ac:dyDescent="0.25">
      <c r="A956" s="9" t="s">
        <v>36</v>
      </c>
      <c r="B956" s="9"/>
      <c r="C956" s="9"/>
      <c r="D956" s="9"/>
    </row>
    <row r="957" spans="1:4" x14ac:dyDescent="0.25">
      <c r="A957" s="9" t="s">
        <v>37</v>
      </c>
      <c r="B957" s="9"/>
      <c r="C957" s="9"/>
      <c r="D957" s="9"/>
    </row>
    <row r="958" spans="1:4" x14ac:dyDescent="0.25">
      <c r="A958" s="9" t="s">
        <v>38</v>
      </c>
      <c r="B958" s="9"/>
      <c r="C958" s="9"/>
      <c r="D958" s="9"/>
    </row>
    <row r="959" spans="1:4" x14ac:dyDescent="0.25">
      <c r="A959" s="9" t="s">
        <v>40</v>
      </c>
      <c r="B959" s="9"/>
      <c r="C959" s="9"/>
      <c r="D959" s="9"/>
    </row>
    <row r="960" spans="1:4" x14ac:dyDescent="0.25">
      <c r="A960" s="9" t="s">
        <v>39</v>
      </c>
      <c r="B960" s="9"/>
      <c r="C960" s="9"/>
      <c r="D960" s="9"/>
    </row>
    <row r="974" spans="1:2" x14ac:dyDescent="0.25">
      <c r="A974" t="s">
        <v>9</v>
      </c>
    </row>
    <row r="976" spans="1:2" x14ac:dyDescent="0.25">
      <c r="A976" t="s">
        <v>10</v>
      </c>
      <c r="B976" t="s">
        <v>11</v>
      </c>
    </row>
    <row r="984" spans="1:4" ht="15.75" x14ac:dyDescent="0.25">
      <c r="B984" s="4" t="s">
        <v>4</v>
      </c>
      <c r="C984" s="4"/>
    </row>
    <row r="985" spans="1:4" ht="15.75" x14ac:dyDescent="0.25">
      <c r="B985" s="4" t="s">
        <v>5</v>
      </c>
      <c r="C985" s="4"/>
    </row>
    <row r="986" spans="1:4" x14ac:dyDescent="0.25">
      <c r="A986" s="5" t="s">
        <v>25</v>
      </c>
      <c r="B986" s="5"/>
      <c r="C986" s="5"/>
      <c r="D986" s="5"/>
    </row>
    <row r="987" spans="1:4" x14ac:dyDescent="0.25">
      <c r="A987" s="5"/>
      <c r="B987" s="5" t="s">
        <v>6</v>
      </c>
      <c r="C987" s="5"/>
      <c r="D987" s="5"/>
    </row>
    <row r="988" spans="1:4" x14ac:dyDescent="0.25">
      <c r="A988" s="8" t="s">
        <v>18</v>
      </c>
      <c r="B988" s="8" t="s">
        <v>21</v>
      </c>
      <c r="C988" s="6">
        <v>27</v>
      </c>
    </row>
    <row r="991" spans="1:4" ht="30" x14ac:dyDescent="0.25">
      <c r="A991" s="1" t="s">
        <v>0</v>
      </c>
      <c r="B991" s="2" t="s">
        <v>1</v>
      </c>
      <c r="C991" s="2" t="s">
        <v>2</v>
      </c>
      <c r="D991" s="2" t="s">
        <v>3</v>
      </c>
    </row>
    <row r="992" spans="1:4" x14ac:dyDescent="0.25">
      <c r="A992" s="3" t="s">
        <v>26</v>
      </c>
      <c r="B992" s="1">
        <f>K721</f>
        <v>70247.460000000006</v>
      </c>
      <c r="C992" s="1">
        <f>L721</f>
        <v>55059.719999999987</v>
      </c>
      <c r="D992" s="1">
        <f>M721</f>
        <v>70246.44</v>
      </c>
    </row>
    <row r="993" spans="1:4" x14ac:dyDescent="0.25">
      <c r="A993" s="14" t="s">
        <v>8</v>
      </c>
      <c r="B993" s="15"/>
      <c r="C993" s="16"/>
      <c r="D993" s="1">
        <f>B992-D992</f>
        <v>1.0200000000040745</v>
      </c>
    </row>
    <row r="995" spans="1:4" x14ac:dyDescent="0.25">
      <c r="A995" s="5" t="s">
        <v>27</v>
      </c>
    </row>
    <row r="997" spans="1:4" x14ac:dyDescent="0.25">
      <c r="A997" s="9" t="s">
        <v>28</v>
      </c>
    </row>
    <row r="998" spans="1:4" x14ac:dyDescent="0.25">
      <c r="A998" s="9" t="s">
        <v>29</v>
      </c>
      <c r="B998" s="9"/>
      <c r="C998" s="9"/>
      <c r="D998" s="9"/>
    </row>
    <row r="999" spans="1:4" x14ac:dyDescent="0.25">
      <c r="A999" s="9" t="s">
        <v>30</v>
      </c>
      <c r="B999" s="9"/>
      <c r="C999" s="9"/>
      <c r="D999" s="9"/>
    </row>
    <row r="1000" spans="1:4" x14ac:dyDescent="0.25">
      <c r="A1000" s="9" t="s">
        <v>31</v>
      </c>
      <c r="B1000" s="9"/>
      <c r="C1000" s="9"/>
      <c r="D1000" s="9"/>
    </row>
    <row r="1001" spans="1:4" x14ac:dyDescent="0.25">
      <c r="A1001" s="9" t="s">
        <v>32</v>
      </c>
      <c r="B1001" s="9"/>
      <c r="C1001" s="9"/>
      <c r="D1001" s="9"/>
    </row>
    <row r="1002" spans="1:4" x14ac:dyDescent="0.25">
      <c r="A1002" s="9" t="s">
        <v>33</v>
      </c>
      <c r="B1002" s="9"/>
      <c r="C1002" s="9"/>
      <c r="D1002" s="9"/>
    </row>
    <row r="1003" spans="1:4" x14ac:dyDescent="0.25">
      <c r="A1003" s="9" t="s">
        <v>34</v>
      </c>
      <c r="B1003" s="9"/>
      <c r="C1003" s="9"/>
      <c r="D1003" s="9"/>
    </row>
    <row r="1004" spans="1:4" x14ac:dyDescent="0.25">
      <c r="A1004" s="9" t="s">
        <v>35</v>
      </c>
      <c r="B1004" s="9"/>
      <c r="C1004" s="9"/>
      <c r="D1004" s="9"/>
    </row>
    <row r="1005" spans="1:4" x14ac:dyDescent="0.25">
      <c r="A1005" s="9" t="s">
        <v>36</v>
      </c>
      <c r="B1005" s="9"/>
      <c r="C1005" s="9"/>
      <c r="D1005" s="9"/>
    </row>
    <row r="1006" spans="1:4" x14ac:dyDescent="0.25">
      <c r="A1006" s="9" t="s">
        <v>37</v>
      </c>
      <c r="B1006" s="9"/>
      <c r="C1006" s="9"/>
      <c r="D1006" s="9"/>
    </row>
    <row r="1007" spans="1:4" x14ac:dyDescent="0.25">
      <c r="A1007" s="9" t="s">
        <v>38</v>
      </c>
      <c r="B1007" s="9"/>
      <c r="C1007" s="9"/>
      <c r="D1007" s="9"/>
    </row>
    <row r="1008" spans="1:4" x14ac:dyDescent="0.25">
      <c r="A1008" s="9" t="s">
        <v>40</v>
      </c>
      <c r="B1008" s="9"/>
      <c r="C1008" s="9"/>
      <c r="D1008" s="9"/>
    </row>
    <row r="1009" spans="1:4" x14ac:dyDescent="0.25">
      <c r="A1009" s="9" t="s">
        <v>39</v>
      </c>
      <c r="B1009" s="9"/>
      <c r="C1009" s="9"/>
      <c r="D1009" s="9"/>
    </row>
    <row r="1023" spans="1:4" x14ac:dyDescent="0.25">
      <c r="A1023" t="s">
        <v>9</v>
      </c>
    </row>
    <row r="1025" spans="1:4" x14ac:dyDescent="0.25">
      <c r="A1025" t="s">
        <v>10</v>
      </c>
      <c r="B1025" t="s">
        <v>11</v>
      </c>
    </row>
    <row r="1033" spans="1:4" ht="15.75" x14ac:dyDescent="0.25">
      <c r="B1033" s="4" t="s">
        <v>4</v>
      </c>
      <c r="C1033" s="4"/>
    </row>
    <row r="1034" spans="1:4" ht="15.75" x14ac:dyDescent="0.25">
      <c r="B1034" s="4" t="s">
        <v>5</v>
      </c>
      <c r="C1034" s="4"/>
    </row>
    <row r="1035" spans="1:4" x14ac:dyDescent="0.25">
      <c r="A1035" s="5" t="s">
        <v>25</v>
      </c>
      <c r="B1035" s="5"/>
      <c r="C1035" s="5"/>
      <c r="D1035" s="5"/>
    </row>
    <row r="1036" spans="1:4" x14ac:dyDescent="0.25">
      <c r="A1036" s="5"/>
      <c r="B1036" s="5" t="s">
        <v>6</v>
      </c>
      <c r="C1036" s="5"/>
      <c r="D1036" s="5"/>
    </row>
    <row r="1037" spans="1:4" x14ac:dyDescent="0.25">
      <c r="A1037" s="8" t="s">
        <v>18</v>
      </c>
      <c r="B1037" s="8" t="s">
        <v>21</v>
      </c>
      <c r="C1037" s="6">
        <v>28</v>
      </c>
    </row>
    <row r="1040" spans="1:4" ht="30" x14ac:dyDescent="0.25">
      <c r="A1040" s="1" t="s">
        <v>0</v>
      </c>
      <c r="B1040" s="2" t="s">
        <v>1</v>
      </c>
      <c r="C1040" s="2" t="s">
        <v>2</v>
      </c>
      <c r="D1040" s="2" t="s">
        <v>3</v>
      </c>
    </row>
    <row r="1041" spans="1:4" x14ac:dyDescent="0.25">
      <c r="A1041" s="3" t="s">
        <v>26</v>
      </c>
      <c r="B1041" s="1">
        <f>K759</f>
        <v>71479.62</v>
      </c>
      <c r="C1041" s="1">
        <f>L759</f>
        <v>57467.849999999991</v>
      </c>
      <c r="D1041" s="1">
        <f>M759</f>
        <v>71479.254000000001</v>
      </c>
    </row>
    <row r="1042" spans="1:4" x14ac:dyDescent="0.25">
      <c r="A1042" s="14" t="s">
        <v>8</v>
      </c>
      <c r="B1042" s="15"/>
      <c r="C1042" s="16"/>
      <c r="D1042" s="1">
        <f>B1041-D1041</f>
        <v>0.36599999999452848</v>
      </c>
    </row>
    <row r="1044" spans="1:4" x14ac:dyDescent="0.25">
      <c r="A1044" s="5" t="s">
        <v>27</v>
      </c>
    </row>
    <row r="1046" spans="1:4" x14ac:dyDescent="0.25">
      <c r="A1046" s="9" t="s">
        <v>28</v>
      </c>
    </row>
    <row r="1047" spans="1:4" x14ac:dyDescent="0.25">
      <c r="A1047" s="9" t="s">
        <v>29</v>
      </c>
      <c r="B1047" s="9"/>
      <c r="C1047" s="9"/>
      <c r="D1047" s="9"/>
    </row>
    <row r="1048" spans="1:4" x14ac:dyDescent="0.25">
      <c r="A1048" s="9" t="s">
        <v>30</v>
      </c>
      <c r="B1048" s="9"/>
      <c r="C1048" s="9"/>
      <c r="D1048" s="9"/>
    </row>
    <row r="1049" spans="1:4" x14ac:dyDescent="0.25">
      <c r="A1049" s="9" t="s">
        <v>31</v>
      </c>
      <c r="B1049" s="9"/>
      <c r="C1049" s="9"/>
      <c r="D1049" s="9"/>
    </row>
    <row r="1050" spans="1:4" x14ac:dyDescent="0.25">
      <c r="A1050" s="9" t="s">
        <v>32</v>
      </c>
      <c r="B1050" s="9"/>
      <c r="C1050" s="9"/>
      <c r="D1050" s="9"/>
    </row>
    <row r="1051" spans="1:4" x14ac:dyDescent="0.25">
      <c r="A1051" s="9" t="s">
        <v>33</v>
      </c>
      <c r="B1051" s="9"/>
      <c r="C1051" s="9"/>
      <c r="D1051" s="9"/>
    </row>
    <row r="1052" spans="1:4" x14ac:dyDescent="0.25">
      <c r="A1052" s="9" t="s">
        <v>34</v>
      </c>
      <c r="B1052" s="9"/>
      <c r="C1052" s="9"/>
      <c r="D1052" s="9"/>
    </row>
    <row r="1053" spans="1:4" x14ac:dyDescent="0.25">
      <c r="A1053" s="9" t="s">
        <v>35</v>
      </c>
      <c r="B1053" s="9"/>
      <c r="C1053" s="9"/>
      <c r="D1053" s="9"/>
    </row>
    <row r="1054" spans="1:4" x14ac:dyDescent="0.25">
      <c r="A1054" s="9" t="s">
        <v>36</v>
      </c>
      <c r="B1054" s="9"/>
      <c r="C1054" s="9"/>
      <c r="D1054" s="9"/>
    </row>
    <row r="1055" spans="1:4" x14ac:dyDescent="0.25">
      <c r="A1055" s="9" t="s">
        <v>37</v>
      </c>
      <c r="B1055" s="9"/>
      <c r="C1055" s="9"/>
      <c r="D1055" s="9"/>
    </row>
    <row r="1056" spans="1:4" x14ac:dyDescent="0.25">
      <c r="A1056" s="9" t="s">
        <v>38</v>
      </c>
      <c r="B1056" s="9"/>
      <c r="C1056" s="9"/>
      <c r="D1056" s="9"/>
    </row>
    <row r="1057" spans="1:4" x14ac:dyDescent="0.25">
      <c r="A1057" s="9" t="s">
        <v>40</v>
      </c>
      <c r="B1057" s="9"/>
      <c r="C1057" s="9"/>
      <c r="D1057" s="9"/>
    </row>
    <row r="1058" spans="1:4" x14ac:dyDescent="0.25">
      <c r="A1058" s="9" t="s">
        <v>39</v>
      </c>
      <c r="B1058" s="9"/>
      <c r="C1058" s="9"/>
      <c r="D1058" s="9"/>
    </row>
    <row r="1072" spans="1:4" x14ac:dyDescent="0.25">
      <c r="A1072" t="s">
        <v>9</v>
      </c>
    </row>
    <row r="1074" spans="1:4" x14ac:dyDescent="0.25">
      <c r="A1074" t="s">
        <v>10</v>
      </c>
      <c r="B1074" t="s">
        <v>11</v>
      </c>
    </row>
    <row r="1082" spans="1:4" ht="15.75" x14ac:dyDescent="0.25">
      <c r="B1082" s="4" t="s">
        <v>4</v>
      </c>
      <c r="C1082" s="4"/>
    </row>
    <row r="1083" spans="1:4" ht="15.75" x14ac:dyDescent="0.25">
      <c r="B1083" s="4" t="s">
        <v>5</v>
      </c>
      <c r="C1083" s="4"/>
    </row>
    <row r="1084" spans="1:4" x14ac:dyDescent="0.25">
      <c r="A1084" s="5" t="s">
        <v>25</v>
      </c>
      <c r="B1084" s="5"/>
      <c r="C1084" s="5"/>
      <c r="D1084" s="5"/>
    </row>
    <row r="1085" spans="1:4" x14ac:dyDescent="0.25">
      <c r="A1085" s="5"/>
      <c r="B1085" s="5" t="s">
        <v>6</v>
      </c>
      <c r="C1085" s="5"/>
      <c r="D1085" s="5"/>
    </row>
    <row r="1086" spans="1:4" x14ac:dyDescent="0.25">
      <c r="A1086" s="8" t="s">
        <v>18</v>
      </c>
      <c r="B1086" s="8" t="s">
        <v>21</v>
      </c>
      <c r="C1086" s="6">
        <v>30</v>
      </c>
    </row>
    <row r="1089" spans="1:4" ht="30" x14ac:dyDescent="0.25">
      <c r="A1089" s="1" t="s">
        <v>0</v>
      </c>
      <c r="B1089" s="2" t="s">
        <v>1</v>
      </c>
      <c r="C1089" s="2" t="s">
        <v>2</v>
      </c>
      <c r="D1089" s="2" t="s">
        <v>3</v>
      </c>
    </row>
    <row r="1090" spans="1:4" x14ac:dyDescent="0.25">
      <c r="A1090" s="3" t="s">
        <v>26</v>
      </c>
      <c r="B1090" s="1">
        <f>K795</f>
        <v>72249.240000000005</v>
      </c>
      <c r="C1090" s="1">
        <f>L795</f>
        <v>57758.710000000006</v>
      </c>
      <c r="D1090" s="1">
        <f>M795</f>
        <v>72248.945999999996</v>
      </c>
    </row>
    <row r="1091" spans="1:4" x14ac:dyDescent="0.25">
      <c r="A1091" s="14" t="s">
        <v>8</v>
      </c>
      <c r="B1091" s="15"/>
      <c r="C1091" s="16"/>
      <c r="D1091" s="1">
        <f>B1090-D1090</f>
        <v>0.29400000000896398</v>
      </c>
    </row>
    <row r="1093" spans="1:4" x14ac:dyDescent="0.25">
      <c r="A1093" s="5" t="s">
        <v>27</v>
      </c>
    </row>
    <row r="1095" spans="1:4" x14ac:dyDescent="0.25">
      <c r="A1095" s="9" t="s">
        <v>28</v>
      </c>
    </row>
    <row r="1096" spans="1:4" x14ac:dyDescent="0.25">
      <c r="A1096" s="9" t="s">
        <v>29</v>
      </c>
      <c r="B1096" s="9"/>
      <c r="C1096" s="9"/>
      <c r="D1096" s="9"/>
    </row>
    <row r="1097" spans="1:4" x14ac:dyDescent="0.25">
      <c r="A1097" s="9" t="s">
        <v>30</v>
      </c>
      <c r="B1097" s="9"/>
      <c r="C1097" s="9"/>
      <c r="D1097" s="9"/>
    </row>
    <row r="1098" spans="1:4" x14ac:dyDescent="0.25">
      <c r="A1098" s="9" t="s">
        <v>31</v>
      </c>
      <c r="B1098" s="9"/>
      <c r="C1098" s="9"/>
      <c r="D1098" s="9"/>
    </row>
    <row r="1099" spans="1:4" x14ac:dyDescent="0.25">
      <c r="A1099" s="9" t="s">
        <v>32</v>
      </c>
      <c r="B1099" s="9"/>
      <c r="C1099" s="9"/>
      <c r="D1099" s="9"/>
    </row>
    <row r="1100" spans="1:4" x14ac:dyDescent="0.25">
      <c r="A1100" s="9" t="s">
        <v>33</v>
      </c>
      <c r="B1100" s="9"/>
      <c r="C1100" s="9"/>
      <c r="D1100" s="9"/>
    </row>
    <row r="1101" spans="1:4" x14ac:dyDescent="0.25">
      <c r="A1101" s="9" t="s">
        <v>34</v>
      </c>
      <c r="B1101" s="9"/>
      <c r="C1101" s="9"/>
      <c r="D1101" s="9"/>
    </row>
    <row r="1102" spans="1:4" x14ac:dyDescent="0.25">
      <c r="A1102" s="9" t="s">
        <v>35</v>
      </c>
      <c r="B1102" s="9"/>
      <c r="C1102" s="9"/>
      <c r="D1102" s="9"/>
    </row>
    <row r="1103" spans="1:4" x14ac:dyDescent="0.25">
      <c r="A1103" s="9" t="s">
        <v>36</v>
      </c>
      <c r="B1103" s="9"/>
      <c r="C1103" s="9"/>
      <c r="D1103" s="9"/>
    </row>
    <row r="1104" spans="1:4" x14ac:dyDescent="0.25">
      <c r="A1104" s="9" t="s">
        <v>37</v>
      </c>
      <c r="B1104" s="9"/>
      <c r="C1104" s="9"/>
      <c r="D1104" s="9"/>
    </row>
    <row r="1105" spans="1:4" x14ac:dyDescent="0.25">
      <c r="A1105" s="9" t="s">
        <v>38</v>
      </c>
      <c r="B1105" s="9"/>
      <c r="C1105" s="9"/>
      <c r="D1105" s="9"/>
    </row>
    <row r="1106" spans="1:4" x14ac:dyDescent="0.25">
      <c r="A1106" s="9" t="s">
        <v>40</v>
      </c>
      <c r="B1106" s="9"/>
      <c r="C1106" s="9"/>
      <c r="D1106" s="9"/>
    </row>
    <row r="1107" spans="1:4" x14ac:dyDescent="0.25">
      <c r="A1107" s="9" t="s">
        <v>39</v>
      </c>
      <c r="B1107" s="9"/>
      <c r="C1107" s="9"/>
      <c r="D1107" s="9"/>
    </row>
    <row r="1108" spans="1:4" x14ac:dyDescent="0.25">
      <c r="A1108" s="9"/>
      <c r="B1108" s="9"/>
      <c r="C1108" s="9"/>
      <c r="D1108" s="9"/>
    </row>
    <row r="1109" spans="1:4" x14ac:dyDescent="0.25">
      <c r="A1109" s="9"/>
      <c r="B1109" s="9"/>
      <c r="C1109" s="9"/>
      <c r="D1109" s="9"/>
    </row>
    <row r="1110" spans="1:4" x14ac:dyDescent="0.25">
      <c r="A1110" s="9"/>
      <c r="B1110" s="9"/>
      <c r="C1110" s="9"/>
      <c r="D1110" s="9"/>
    </row>
    <row r="1111" spans="1:4" x14ac:dyDescent="0.25">
      <c r="A1111" s="9"/>
      <c r="B1111" s="9"/>
      <c r="C1111" s="9"/>
      <c r="D1111" s="9"/>
    </row>
    <row r="1112" spans="1:4" x14ac:dyDescent="0.25">
      <c r="A1112" s="9"/>
      <c r="B1112" s="9"/>
      <c r="C1112" s="9"/>
      <c r="D1112" s="9"/>
    </row>
    <row r="1113" spans="1:4" x14ac:dyDescent="0.25">
      <c r="A1113" s="9"/>
      <c r="B1113" s="9"/>
      <c r="C1113" s="9"/>
      <c r="D1113" s="9"/>
    </row>
    <row r="1114" spans="1:4" x14ac:dyDescent="0.25">
      <c r="A1114" s="9"/>
      <c r="B1114" s="9"/>
      <c r="C1114" s="9"/>
      <c r="D1114" s="9"/>
    </row>
    <row r="1115" spans="1:4" x14ac:dyDescent="0.25">
      <c r="A1115" s="9"/>
      <c r="B1115" s="9"/>
      <c r="C1115" s="9"/>
      <c r="D1115" s="9"/>
    </row>
    <row r="1116" spans="1:4" x14ac:dyDescent="0.25">
      <c r="A1116" s="9"/>
      <c r="B1116" s="9"/>
      <c r="C1116" s="9"/>
      <c r="D1116" s="9"/>
    </row>
    <row r="1117" spans="1:4" x14ac:dyDescent="0.25">
      <c r="A1117" s="9"/>
      <c r="B1117" s="9"/>
      <c r="C1117" s="9"/>
      <c r="D1117" s="9"/>
    </row>
    <row r="1121" spans="1:4" x14ac:dyDescent="0.25">
      <c r="A1121" t="s">
        <v>9</v>
      </c>
    </row>
    <row r="1123" spans="1:4" x14ac:dyDescent="0.25">
      <c r="A1123" t="s">
        <v>10</v>
      </c>
      <c r="B1123" t="s">
        <v>11</v>
      </c>
    </row>
    <row r="1131" spans="1:4" ht="15.75" x14ac:dyDescent="0.25">
      <c r="B1131" s="4" t="s">
        <v>4</v>
      </c>
      <c r="C1131" s="4"/>
    </row>
    <row r="1132" spans="1:4" ht="15.75" x14ac:dyDescent="0.25">
      <c r="B1132" s="4" t="s">
        <v>5</v>
      </c>
      <c r="C1132" s="4"/>
    </row>
    <row r="1133" spans="1:4" x14ac:dyDescent="0.25">
      <c r="A1133" s="5" t="s">
        <v>25</v>
      </c>
      <c r="B1133" s="5"/>
      <c r="C1133" s="5"/>
      <c r="D1133" s="5"/>
    </row>
    <row r="1134" spans="1:4" x14ac:dyDescent="0.25">
      <c r="A1134" s="5"/>
      <c r="B1134" s="5" t="s">
        <v>6</v>
      </c>
      <c r="C1134" s="5"/>
      <c r="D1134" s="5"/>
    </row>
    <row r="1135" spans="1:4" x14ac:dyDescent="0.25">
      <c r="A1135" s="8" t="s">
        <v>18</v>
      </c>
      <c r="B1135" s="8" t="s">
        <v>21</v>
      </c>
      <c r="C1135" s="6">
        <v>32</v>
      </c>
    </row>
    <row r="1138" spans="1:4" ht="30" x14ac:dyDescent="0.25">
      <c r="A1138" s="1" t="s">
        <v>0</v>
      </c>
      <c r="B1138" s="2" t="s">
        <v>1</v>
      </c>
      <c r="C1138" s="2" t="s">
        <v>2</v>
      </c>
      <c r="D1138" s="2" t="s">
        <v>3</v>
      </c>
    </row>
    <row r="1139" spans="1:4" x14ac:dyDescent="0.25">
      <c r="A1139" s="3" t="s">
        <v>26</v>
      </c>
      <c r="B1139" s="1">
        <f>K831</f>
        <v>70584.66</v>
      </c>
      <c r="C1139" s="1">
        <f>L831</f>
        <v>53090.749999999993</v>
      </c>
      <c r="D1139" s="1">
        <f>M831</f>
        <v>70583.898000000001</v>
      </c>
    </row>
    <row r="1140" spans="1:4" x14ac:dyDescent="0.25">
      <c r="A1140" s="14" t="s">
        <v>8</v>
      </c>
      <c r="B1140" s="15"/>
      <c r="C1140" s="16"/>
      <c r="D1140" s="1">
        <f>B1139-D1139</f>
        <v>0.76200000000244472</v>
      </c>
    </row>
    <row r="1142" spans="1:4" x14ac:dyDescent="0.25">
      <c r="A1142" s="5" t="s">
        <v>27</v>
      </c>
    </row>
    <row r="1144" spans="1:4" x14ac:dyDescent="0.25">
      <c r="A1144" s="9" t="s">
        <v>28</v>
      </c>
    </row>
    <row r="1145" spans="1:4" x14ac:dyDescent="0.25">
      <c r="A1145" s="9" t="s">
        <v>29</v>
      </c>
      <c r="B1145" s="9"/>
      <c r="C1145" s="9"/>
      <c r="D1145" s="9"/>
    </row>
    <row r="1146" spans="1:4" x14ac:dyDescent="0.25">
      <c r="A1146" s="9" t="s">
        <v>30</v>
      </c>
      <c r="B1146" s="9"/>
      <c r="C1146" s="9"/>
      <c r="D1146" s="9"/>
    </row>
    <row r="1147" spans="1:4" x14ac:dyDescent="0.25">
      <c r="A1147" s="9" t="s">
        <v>31</v>
      </c>
      <c r="B1147" s="9"/>
      <c r="C1147" s="9"/>
      <c r="D1147" s="9"/>
    </row>
    <row r="1148" spans="1:4" x14ac:dyDescent="0.25">
      <c r="A1148" s="9" t="s">
        <v>32</v>
      </c>
      <c r="B1148" s="9"/>
      <c r="C1148" s="9"/>
      <c r="D1148" s="9"/>
    </row>
    <row r="1149" spans="1:4" x14ac:dyDescent="0.25">
      <c r="A1149" s="9" t="s">
        <v>33</v>
      </c>
      <c r="B1149" s="9"/>
      <c r="C1149" s="9"/>
      <c r="D1149" s="9"/>
    </row>
    <row r="1150" spans="1:4" x14ac:dyDescent="0.25">
      <c r="A1150" s="9" t="s">
        <v>34</v>
      </c>
      <c r="B1150" s="9"/>
      <c r="C1150" s="9"/>
      <c r="D1150" s="9"/>
    </row>
    <row r="1151" spans="1:4" x14ac:dyDescent="0.25">
      <c r="A1151" s="9" t="s">
        <v>35</v>
      </c>
      <c r="B1151" s="9"/>
      <c r="C1151" s="9"/>
      <c r="D1151" s="9"/>
    </row>
    <row r="1152" spans="1:4" x14ac:dyDescent="0.25">
      <c r="A1152" s="9" t="s">
        <v>36</v>
      </c>
      <c r="B1152" s="9"/>
      <c r="C1152" s="9"/>
      <c r="D1152" s="9"/>
    </row>
    <row r="1153" spans="1:4" x14ac:dyDescent="0.25">
      <c r="A1153" s="9" t="s">
        <v>37</v>
      </c>
      <c r="B1153" s="9"/>
      <c r="C1153" s="9"/>
      <c r="D1153" s="9"/>
    </row>
    <row r="1154" spans="1:4" x14ac:dyDescent="0.25">
      <c r="A1154" s="9" t="s">
        <v>38</v>
      </c>
      <c r="B1154" s="9"/>
      <c r="C1154" s="9"/>
      <c r="D1154" s="9"/>
    </row>
    <row r="1155" spans="1:4" x14ac:dyDescent="0.25">
      <c r="A1155" s="9" t="s">
        <v>40</v>
      </c>
      <c r="B1155" s="9"/>
      <c r="C1155" s="9"/>
      <c r="D1155" s="9"/>
    </row>
    <row r="1156" spans="1:4" x14ac:dyDescent="0.25">
      <c r="A1156" s="9" t="s">
        <v>39</v>
      </c>
      <c r="B1156" s="9"/>
      <c r="C1156" s="9"/>
      <c r="D1156" s="9"/>
    </row>
    <row r="1170" spans="1:4" x14ac:dyDescent="0.25">
      <c r="A1170" t="s">
        <v>9</v>
      </c>
    </row>
    <row r="1172" spans="1:4" x14ac:dyDescent="0.25">
      <c r="A1172" t="s">
        <v>10</v>
      </c>
      <c r="B1172" t="s">
        <v>11</v>
      </c>
    </row>
    <row r="1180" spans="1:4" ht="15.75" x14ac:dyDescent="0.25">
      <c r="B1180" s="4" t="s">
        <v>4</v>
      </c>
      <c r="C1180" s="4"/>
    </row>
    <row r="1181" spans="1:4" ht="15.75" x14ac:dyDescent="0.25">
      <c r="B1181" s="4" t="s">
        <v>5</v>
      </c>
      <c r="C1181" s="4"/>
    </row>
    <row r="1182" spans="1:4" x14ac:dyDescent="0.25">
      <c r="A1182" s="5" t="s">
        <v>25</v>
      </c>
      <c r="B1182" s="5"/>
      <c r="C1182" s="5"/>
      <c r="D1182" s="5"/>
    </row>
    <row r="1183" spans="1:4" x14ac:dyDescent="0.25">
      <c r="A1183" s="5"/>
      <c r="B1183" s="5" t="s">
        <v>6</v>
      </c>
      <c r="C1183" s="5"/>
      <c r="D1183" s="5"/>
    </row>
    <row r="1184" spans="1:4" x14ac:dyDescent="0.25">
      <c r="A1184" s="8" t="s">
        <v>18</v>
      </c>
      <c r="B1184" s="8" t="s">
        <v>21</v>
      </c>
      <c r="C1184" s="6">
        <v>44</v>
      </c>
    </row>
    <row r="1187" spans="1:4" ht="30" x14ac:dyDescent="0.25">
      <c r="A1187" s="1" t="s">
        <v>0</v>
      </c>
      <c r="B1187" s="2" t="s">
        <v>1</v>
      </c>
      <c r="C1187" s="2" t="s">
        <v>2</v>
      </c>
      <c r="D1187" s="2" t="s">
        <v>3</v>
      </c>
    </row>
    <row r="1188" spans="1:4" x14ac:dyDescent="0.25">
      <c r="A1188" s="3" t="s">
        <v>26</v>
      </c>
      <c r="B1188" s="1">
        <f>K867</f>
        <v>118915.38</v>
      </c>
      <c r="C1188" s="1">
        <f>L867</f>
        <v>93206.97000000003</v>
      </c>
      <c r="D1188" s="1">
        <f>M867</f>
        <v>118914.372</v>
      </c>
    </row>
    <row r="1189" spans="1:4" x14ac:dyDescent="0.25">
      <c r="A1189" s="14" t="s">
        <v>8</v>
      </c>
      <c r="B1189" s="15"/>
      <c r="C1189" s="16"/>
      <c r="D1189" s="1">
        <f>B1188-D1188</f>
        <v>1.0080000000016298</v>
      </c>
    </row>
    <row r="1191" spans="1:4" x14ac:dyDescent="0.25">
      <c r="A1191" s="5" t="s">
        <v>27</v>
      </c>
    </row>
    <row r="1193" spans="1:4" x14ac:dyDescent="0.25">
      <c r="A1193" s="9" t="s">
        <v>28</v>
      </c>
    </row>
    <row r="1194" spans="1:4" x14ac:dyDescent="0.25">
      <c r="A1194" s="9" t="s">
        <v>29</v>
      </c>
      <c r="B1194" s="9"/>
      <c r="C1194" s="9"/>
      <c r="D1194" s="9"/>
    </row>
    <row r="1195" spans="1:4" x14ac:dyDescent="0.25">
      <c r="A1195" s="9" t="s">
        <v>30</v>
      </c>
      <c r="B1195" s="9"/>
      <c r="C1195" s="9"/>
      <c r="D1195" s="9"/>
    </row>
    <row r="1196" spans="1:4" x14ac:dyDescent="0.25">
      <c r="A1196" s="9" t="s">
        <v>31</v>
      </c>
      <c r="B1196" s="9"/>
      <c r="C1196" s="9"/>
      <c r="D1196" s="9"/>
    </row>
    <row r="1197" spans="1:4" x14ac:dyDescent="0.25">
      <c r="A1197" s="9" t="s">
        <v>32</v>
      </c>
      <c r="B1197" s="9"/>
      <c r="C1197" s="9"/>
      <c r="D1197" s="9"/>
    </row>
    <row r="1198" spans="1:4" x14ac:dyDescent="0.25">
      <c r="A1198" s="9" t="s">
        <v>33</v>
      </c>
      <c r="B1198" s="9"/>
      <c r="C1198" s="9"/>
      <c r="D1198" s="9"/>
    </row>
    <row r="1199" spans="1:4" x14ac:dyDescent="0.25">
      <c r="A1199" s="9" t="s">
        <v>34</v>
      </c>
      <c r="B1199" s="9"/>
      <c r="C1199" s="9"/>
      <c r="D1199" s="9"/>
    </row>
    <row r="1200" spans="1:4" x14ac:dyDescent="0.25">
      <c r="A1200" s="9" t="s">
        <v>35</v>
      </c>
      <c r="B1200" s="9"/>
      <c r="C1200" s="9"/>
      <c r="D1200" s="9"/>
    </row>
    <row r="1201" spans="1:4" x14ac:dyDescent="0.25">
      <c r="A1201" s="9" t="s">
        <v>36</v>
      </c>
      <c r="B1201" s="9"/>
      <c r="C1201" s="9"/>
      <c r="D1201" s="9"/>
    </row>
    <row r="1202" spans="1:4" x14ac:dyDescent="0.25">
      <c r="A1202" s="9" t="s">
        <v>37</v>
      </c>
      <c r="B1202" s="9"/>
      <c r="C1202" s="9"/>
      <c r="D1202" s="9"/>
    </row>
    <row r="1203" spans="1:4" x14ac:dyDescent="0.25">
      <c r="A1203" s="9" t="s">
        <v>38</v>
      </c>
      <c r="B1203" s="9"/>
      <c r="C1203" s="9"/>
      <c r="D1203" s="9"/>
    </row>
    <row r="1204" spans="1:4" x14ac:dyDescent="0.25">
      <c r="A1204" s="9" t="s">
        <v>40</v>
      </c>
      <c r="B1204" s="9"/>
      <c r="C1204" s="9"/>
      <c r="D1204" s="9"/>
    </row>
    <row r="1205" spans="1:4" x14ac:dyDescent="0.25">
      <c r="A1205" s="9" t="s">
        <v>39</v>
      </c>
      <c r="B1205" s="9"/>
      <c r="C1205" s="9"/>
      <c r="D1205" s="9"/>
    </row>
    <row r="1206" spans="1:4" x14ac:dyDescent="0.25">
      <c r="A1206" s="9"/>
      <c r="B1206" s="9"/>
      <c r="C1206" s="9"/>
      <c r="D1206" s="9"/>
    </row>
    <row r="1207" spans="1:4" x14ac:dyDescent="0.25">
      <c r="A1207" s="9"/>
      <c r="B1207" s="9"/>
      <c r="C1207" s="9"/>
      <c r="D1207" s="9"/>
    </row>
    <row r="1208" spans="1:4" x14ac:dyDescent="0.25">
      <c r="A1208" s="9"/>
      <c r="B1208" s="9"/>
      <c r="C1208" s="9"/>
      <c r="D1208" s="9"/>
    </row>
    <row r="1209" spans="1:4" x14ac:dyDescent="0.25">
      <c r="A1209" s="9"/>
      <c r="B1209" s="9"/>
      <c r="C1209" s="9"/>
      <c r="D1209" s="9"/>
    </row>
    <row r="1210" spans="1:4" x14ac:dyDescent="0.25">
      <c r="A1210" s="9"/>
      <c r="B1210" s="9"/>
      <c r="C1210" s="9"/>
      <c r="D1210" s="9"/>
    </row>
    <row r="1211" spans="1:4" x14ac:dyDescent="0.25">
      <c r="A1211" s="9"/>
      <c r="B1211" s="9"/>
      <c r="C1211" s="9"/>
      <c r="D1211" s="9"/>
    </row>
    <row r="1212" spans="1:4" x14ac:dyDescent="0.25">
      <c r="A1212" s="9"/>
      <c r="B1212" s="9"/>
      <c r="C1212" s="9"/>
      <c r="D1212" s="9"/>
    </row>
    <row r="1213" spans="1:4" x14ac:dyDescent="0.25">
      <c r="A1213" s="9"/>
      <c r="B1213" s="9"/>
      <c r="C1213" s="9"/>
      <c r="D1213" s="9"/>
    </row>
    <row r="1219" spans="1:4" x14ac:dyDescent="0.25">
      <c r="A1219" t="s">
        <v>9</v>
      </c>
    </row>
    <row r="1221" spans="1:4" x14ac:dyDescent="0.25">
      <c r="A1221" t="s">
        <v>10</v>
      </c>
      <c r="B1221" t="s">
        <v>11</v>
      </c>
    </row>
    <row r="1229" spans="1:4" ht="15.75" x14ac:dyDescent="0.25">
      <c r="B1229" s="4" t="s">
        <v>4</v>
      </c>
      <c r="C1229" s="4"/>
    </row>
    <row r="1230" spans="1:4" ht="15.75" x14ac:dyDescent="0.25">
      <c r="B1230" s="4" t="s">
        <v>5</v>
      </c>
      <c r="C1230" s="4"/>
    </row>
    <row r="1231" spans="1:4" x14ac:dyDescent="0.25">
      <c r="A1231" s="5" t="s">
        <v>25</v>
      </c>
      <c r="B1231" s="5"/>
      <c r="C1231" s="5"/>
      <c r="D1231" s="5"/>
    </row>
    <row r="1232" spans="1:4" x14ac:dyDescent="0.25">
      <c r="A1232" s="5"/>
      <c r="B1232" s="5" t="s">
        <v>6</v>
      </c>
      <c r="C1232" s="5"/>
      <c r="D1232" s="5"/>
    </row>
    <row r="1233" spans="1:4" x14ac:dyDescent="0.25">
      <c r="A1233" s="8" t="s">
        <v>18</v>
      </c>
      <c r="B1233" s="8" t="s">
        <v>21</v>
      </c>
      <c r="C1233" s="6">
        <v>70</v>
      </c>
    </row>
    <row r="1236" spans="1:4" ht="30" x14ac:dyDescent="0.25">
      <c r="A1236" s="1" t="s">
        <v>0</v>
      </c>
      <c r="B1236" s="2" t="s">
        <v>1</v>
      </c>
      <c r="C1236" s="2" t="s">
        <v>2</v>
      </c>
      <c r="D1236" s="2" t="s">
        <v>3</v>
      </c>
    </row>
    <row r="1237" spans="1:4" x14ac:dyDescent="0.25">
      <c r="A1237" s="3" t="s">
        <v>26</v>
      </c>
      <c r="B1237" s="1">
        <f>K902</f>
        <v>20256.78</v>
      </c>
      <c r="C1237" s="1">
        <f>L902</f>
        <v>5757.9</v>
      </c>
      <c r="D1237" s="1">
        <f>M902</f>
        <v>20256.39</v>
      </c>
    </row>
    <row r="1238" spans="1:4" x14ac:dyDescent="0.25">
      <c r="A1238" s="14" t="s">
        <v>8</v>
      </c>
      <c r="B1238" s="15"/>
      <c r="C1238" s="16"/>
      <c r="D1238" s="1">
        <f>B1237-D1237</f>
        <v>0.38999999999941792</v>
      </c>
    </row>
    <row r="1240" spans="1:4" x14ac:dyDescent="0.25">
      <c r="A1240" s="5" t="s">
        <v>27</v>
      </c>
    </row>
    <row r="1242" spans="1:4" x14ac:dyDescent="0.25">
      <c r="A1242" s="9" t="s">
        <v>28</v>
      </c>
    </row>
    <row r="1243" spans="1:4" x14ac:dyDescent="0.25">
      <c r="A1243" s="9" t="s">
        <v>29</v>
      </c>
      <c r="B1243" s="9"/>
      <c r="C1243" s="9"/>
      <c r="D1243" s="9"/>
    </row>
    <row r="1244" spans="1:4" x14ac:dyDescent="0.25">
      <c r="A1244" s="9" t="s">
        <v>30</v>
      </c>
      <c r="B1244" s="9"/>
      <c r="C1244" s="9"/>
      <c r="D1244" s="9"/>
    </row>
    <row r="1245" spans="1:4" x14ac:dyDescent="0.25">
      <c r="A1245" s="9" t="s">
        <v>31</v>
      </c>
      <c r="B1245" s="9"/>
      <c r="C1245" s="9"/>
      <c r="D1245" s="9"/>
    </row>
    <row r="1246" spans="1:4" x14ac:dyDescent="0.25">
      <c r="A1246" s="9" t="s">
        <v>32</v>
      </c>
      <c r="B1246" s="9"/>
      <c r="C1246" s="9"/>
      <c r="D1246" s="9"/>
    </row>
    <row r="1247" spans="1:4" x14ac:dyDescent="0.25">
      <c r="A1247" s="9" t="s">
        <v>33</v>
      </c>
      <c r="B1247" s="9"/>
      <c r="C1247" s="9"/>
      <c r="D1247" s="9"/>
    </row>
    <row r="1248" spans="1:4" x14ac:dyDescent="0.25">
      <c r="A1248" s="9" t="s">
        <v>34</v>
      </c>
      <c r="B1248" s="9"/>
      <c r="C1248" s="9"/>
      <c r="D1248" s="9"/>
    </row>
    <row r="1249" spans="1:4" x14ac:dyDescent="0.25">
      <c r="A1249" s="9" t="s">
        <v>35</v>
      </c>
      <c r="B1249" s="9"/>
      <c r="C1249" s="9"/>
      <c r="D1249" s="9"/>
    </row>
    <row r="1250" spans="1:4" x14ac:dyDescent="0.25">
      <c r="A1250" s="9" t="s">
        <v>36</v>
      </c>
      <c r="B1250" s="9"/>
      <c r="C1250" s="9"/>
      <c r="D1250" s="9"/>
    </row>
    <row r="1251" spans="1:4" x14ac:dyDescent="0.25">
      <c r="A1251" s="9" t="s">
        <v>37</v>
      </c>
      <c r="B1251" s="9"/>
      <c r="C1251" s="9"/>
      <c r="D1251" s="9"/>
    </row>
    <row r="1252" spans="1:4" x14ac:dyDescent="0.25">
      <c r="A1252" s="9" t="s">
        <v>38</v>
      </c>
      <c r="B1252" s="9"/>
      <c r="C1252" s="9"/>
      <c r="D1252" s="9"/>
    </row>
    <row r="1253" spans="1:4" x14ac:dyDescent="0.25">
      <c r="A1253" s="9" t="s">
        <v>40</v>
      </c>
      <c r="B1253" s="9"/>
      <c r="C1253" s="9"/>
      <c r="D1253" s="9"/>
    </row>
    <row r="1254" spans="1:4" x14ac:dyDescent="0.25">
      <c r="A1254" s="9" t="s">
        <v>39</v>
      </c>
      <c r="B1254" s="9"/>
      <c r="C1254" s="9"/>
      <c r="D1254" s="9"/>
    </row>
    <row r="1268" spans="1:2" x14ac:dyDescent="0.25">
      <c r="A1268" t="s">
        <v>9</v>
      </c>
    </row>
    <row r="1270" spans="1:2" x14ac:dyDescent="0.25">
      <c r="A1270" t="s">
        <v>10</v>
      </c>
      <c r="B1270" t="s">
        <v>11</v>
      </c>
    </row>
  </sheetData>
  <mergeCells count="26">
    <mergeCell ref="A13:C13"/>
    <mergeCell ref="A62:C62"/>
    <mergeCell ref="A111:C111"/>
    <mergeCell ref="A160:C160"/>
    <mergeCell ref="A748:C748"/>
    <mergeCell ref="A699:C699"/>
    <mergeCell ref="A209:C209"/>
    <mergeCell ref="A258:C258"/>
    <mergeCell ref="A307:C307"/>
    <mergeCell ref="A356:C356"/>
    <mergeCell ref="A405:C405"/>
    <mergeCell ref="A454:C454"/>
    <mergeCell ref="A503:C503"/>
    <mergeCell ref="A552:C552"/>
    <mergeCell ref="A601:C601"/>
    <mergeCell ref="A650:C650"/>
    <mergeCell ref="A797:C797"/>
    <mergeCell ref="A846:C846"/>
    <mergeCell ref="A1140:C1140"/>
    <mergeCell ref="A1189:C1189"/>
    <mergeCell ref="A1238:C1238"/>
    <mergeCell ref="A895:C895"/>
    <mergeCell ref="A944:C944"/>
    <mergeCell ref="A993:C993"/>
    <mergeCell ref="A1042:C1042"/>
    <mergeCell ref="A1091:C109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72"/>
  <sheetViews>
    <sheetView topLeftCell="A515" workbookViewId="0">
      <selection activeCell="N548" sqref="N548"/>
    </sheetView>
  </sheetViews>
  <sheetFormatPr defaultRowHeight="15" x14ac:dyDescent="0.25"/>
  <cols>
    <col min="1" max="1" width="26.7109375" customWidth="1"/>
    <col min="2" max="2" width="16.5703125" customWidth="1"/>
    <col min="3" max="3" width="15" customWidth="1"/>
    <col min="6" max="6" width="8.28515625" customWidth="1"/>
    <col min="7" max="7" width="0.85546875" hidden="1" customWidth="1"/>
    <col min="8" max="10" width="8.85546875" hidden="1" customWidth="1"/>
  </cols>
  <sheetData>
    <row r="4" spans="1:14" ht="15.75" x14ac:dyDescent="0.25">
      <c r="B4" s="4" t="s">
        <v>4</v>
      </c>
      <c r="C4" s="4"/>
    </row>
    <row r="5" spans="1:14" ht="15.75" x14ac:dyDescent="0.25">
      <c r="B5" s="4" t="s">
        <v>5</v>
      </c>
      <c r="C5" s="4"/>
    </row>
    <row r="6" spans="1:14" x14ac:dyDescent="0.25">
      <c r="A6" s="5" t="s">
        <v>25</v>
      </c>
      <c r="B6" s="5"/>
      <c r="C6" s="5"/>
      <c r="D6" s="5"/>
    </row>
    <row r="7" spans="1:14" x14ac:dyDescent="0.25">
      <c r="A7" s="5"/>
      <c r="B7" s="5" t="s">
        <v>6</v>
      </c>
      <c r="C7" s="5"/>
      <c r="D7" s="5"/>
    </row>
    <row r="8" spans="1:14" x14ac:dyDescent="0.25">
      <c r="A8" s="8" t="s">
        <v>41</v>
      </c>
      <c r="B8" s="8" t="s">
        <v>21</v>
      </c>
      <c r="C8" s="6" t="s">
        <v>20</v>
      </c>
    </row>
    <row r="9" spans="1:14" x14ac:dyDescent="0.25">
      <c r="M9">
        <v>383.2</v>
      </c>
      <c r="N9">
        <v>13.07</v>
      </c>
    </row>
    <row r="10" spans="1:14" x14ac:dyDescent="0.25">
      <c r="K10">
        <f>57823.87-6097.23-91.5-11266.08-10318.24</f>
        <v>30050.82</v>
      </c>
      <c r="L10">
        <f>49482.63-5270.42-77.99-9602.29-8919.07</f>
        <v>25612.86</v>
      </c>
      <c r="M10">
        <f>M9*N9*6</f>
        <v>30050.544000000002</v>
      </c>
    </row>
    <row r="11" spans="1:14" ht="45" x14ac:dyDescent="0.25">
      <c r="A11" s="1" t="s">
        <v>0</v>
      </c>
      <c r="B11" s="2" t="s">
        <v>1</v>
      </c>
      <c r="C11" s="2" t="s">
        <v>2</v>
      </c>
      <c r="D11" s="2" t="s">
        <v>3</v>
      </c>
    </row>
    <row r="12" spans="1:14" x14ac:dyDescent="0.25">
      <c r="A12" s="3" t="s">
        <v>26</v>
      </c>
      <c r="B12" s="1">
        <f>K10</f>
        <v>30050.82</v>
      </c>
      <c r="C12" s="1">
        <f>L10</f>
        <v>25612.86</v>
      </c>
      <c r="D12" s="1">
        <f>M10</f>
        <v>30050.544000000002</v>
      </c>
    </row>
    <row r="13" spans="1:14" x14ac:dyDescent="0.25">
      <c r="A13" s="14" t="s">
        <v>8</v>
      </c>
      <c r="B13" s="15"/>
      <c r="C13" s="16"/>
      <c r="D13" s="1">
        <f>B12-D12</f>
        <v>0.27599999999802094</v>
      </c>
    </row>
    <row r="15" spans="1:14" x14ac:dyDescent="0.25">
      <c r="A15" s="5" t="s">
        <v>27</v>
      </c>
    </row>
    <row r="17" spans="1:4" x14ac:dyDescent="0.25">
      <c r="A17" s="9" t="s">
        <v>28</v>
      </c>
    </row>
    <row r="18" spans="1:4" x14ac:dyDescent="0.25">
      <c r="A18" s="9" t="s">
        <v>29</v>
      </c>
      <c r="B18" s="9"/>
      <c r="C18" s="9"/>
      <c r="D18" s="9"/>
    </row>
    <row r="19" spans="1:4" x14ac:dyDescent="0.25">
      <c r="A19" s="9" t="s">
        <v>30</v>
      </c>
      <c r="B19" s="9"/>
      <c r="C19" s="9"/>
      <c r="D19" s="9"/>
    </row>
    <row r="20" spans="1:4" x14ac:dyDescent="0.25">
      <c r="A20" s="9" t="s">
        <v>31</v>
      </c>
      <c r="B20" s="9"/>
      <c r="C20" s="9"/>
      <c r="D20" s="9"/>
    </row>
    <row r="21" spans="1:4" x14ac:dyDescent="0.25">
      <c r="A21" s="9" t="s">
        <v>32</v>
      </c>
      <c r="B21" s="9"/>
      <c r="C21" s="9"/>
      <c r="D21" s="9"/>
    </row>
    <row r="22" spans="1:4" x14ac:dyDescent="0.25">
      <c r="A22" s="9" t="s">
        <v>33</v>
      </c>
      <c r="B22" s="9"/>
      <c r="C22" s="9"/>
      <c r="D22" s="9"/>
    </row>
    <row r="23" spans="1:4" x14ac:dyDescent="0.25">
      <c r="A23" s="9" t="s">
        <v>34</v>
      </c>
      <c r="B23" s="9"/>
      <c r="C23" s="9"/>
      <c r="D23" s="9"/>
    </row>
    <row r="24" spans="1:4" x14ac:dyDescent="0.25">
      <c r="A24" s="9" t="s">
        <v>35</v>
      </c>
      <c r="B24" s="9"/>
      <c r="C24" s="9"/>
      <c r="D24" s="9"/>
    </row>
    <row r="25" spans="1:4" x14ac:dyDescent="0.25">
      <c r="A25" s="9" t="s">
        <v>36</v>
      </c>
      <c r="B25" s="9"/>
      <c r="C25" s="9"/>
      <c r="D25" s="9"/>
    </row>
    <row r="26" spans="1:4" x14ac:dyDescent="0.25">
      <c r="A26" s="9" t="s">
        <v>37</v>
      </c>
      <c r="B26" s="9"/>
      <c r="C26" s="9"/>
      <c r="D26" s="9"/>
    </row>
    <row r="27" spans="1:4" x14ac:dyDescent="0.25">
      <c r="A27" s="9" t="s">
        <v>38</v>
      </c>
      <c r="B27" s="9"/>
      <c r="C27" s="9"/>
      <c r="D27" s="9"/>
    </row>
    <row r="28" spans="1:4" x14ac:dyDescent="0.25">
      <c r="A28" s="9" t="s">
        <v>40</v>
      </c>
      <c r="B28" s="9"/>
      <c r="C28" s="9"/>
      <c r="D28" s="9"/>
    </row>
    <row r="29" spans="1:4" x14ac:dyDescent="0.25">
      <c r="A29" s="9" t="s">
        <v>39</v>
      </c>
      <c r="B29" s="9"/>
      <c r="C29" s="9"/>
      <c r="D29" s="9"/>
    </row>
    <row r="30" spans="1:4" x14ac:dyDescent="0.25">
      <c r="A30" s="9"/>
      <c r="B30" s="9"/>
      <c r="C30" s="9"/>
      <c r="D30" s="9"/>
    </row>
    <row r="31" spans="1:4" x14ac:dyDescent="0.25">
      <c r="A31" s="9"/>
      <c r="B31" s="9"/>
      <c r="C31" s="9"/>
      <c r="D31" s="9"/>
    </row>
    <row r="32" spans="1:4" x14ac:dyDescent="0.25">
      <c r="A32" s="9"/>
      <c r="B32" s="9"/>
      <c r="C32" s="9"/>
      <c r="D32" s="9"/>
    </row>
    <row r="33" spans="1:14" x14ac:dyDescent="0.25">
      <c r="A33" s="9"/>
      <c r="B33" s="9"/>
      <c r="C33" s="9"/>
      <c r="D33" s="9"/>
    </row>
    <row r="34" spans="1:14" x14ac:dyDescent="0.25">
      <c r="A34" s="9"/>
      <c r="B34" s="9"/>
      <c r="C34" s="9"/>
      <c r="D34" s="9"/>
    </row>
    <row r="35" spans="1:14" x14ac:dyDescent="0.25">
      <c r="A35" s="9"/>
      <c r="B35" s="9"/>
      <c r="C35" s="9"/>
      <c r="D35" s="9"/>
    </row>
    <row r="36" spans="1:14" x14ac:dyDescent="0.25">
      <c r="A36" s="9"/>
      <c r="B36" s="9"/>
      <c r="C36" s="9"/>
      <c r="D36" s="9"/>
    </row>
    <row r="42" spans="1:14" x14ac:dyDescent="0.25">
      <c r="A42" t="s">
        <v>9</v>
      </c>
    </row>
    <row r="44" spans="1:14" x14ac:dyDescent="0.25">
      <c r="A44" t="s">
        <v>10</v>
      </c>
      <c r="B44" t="s">
        <v>11</v>
      </c>
      <c r="M44">
        <v>477</v>
      </c>
      <c r="N44">
        <v>14.14</v>
      </c>
    </row>
    <row r="45" spans="1:14" x14ac:dyDescent="0.25">
      <c r="K45">
        <f>147482.13-73130.7-8478.87-93.42-10961.46-14348.76</f>
        <v>40468.920000000013</v>
      </c>
      <c r="L45">
        <f>122811.17-60942.25-7032.06-77.85-9134.55-11900.36</f>
        <v>33724.100000000006</v>
      </c>
      <c r="M45">
        <f>M44*N44*6</f>
        <v>40468.680000000008</v>
      </c>
    </row>
    <row r="52" spans="1:4" ht="15.75" x14ac:dyDescent="0.25">
      <c r="B52" s="4" t="s">
        <v>4</v>
      </c>
      <c r="C52" s="4"/>
    </row>
    <row r="53" spans="1:4" ht="15.75" x14ac:dyDescent="0.25">
      <c r="B53" s="4" t="s">
        <v>5</v>
      </c>
      <c r="C53" s="4"/>
    </row>
    <row r="54" spans="1:4" x14ac:dyDescent="0.25">
      <c r="A54" s="5" t="s">
        <v>25</v>
      </c>
      <c r="B54" s="5"/>
      <c r="C54" s="5"/>
      <c r="D54" s="5"/>
    </row>
    <row r="55" spans="1:4" x14ac:dyDescent="0.25">
      <c r="A55" s="5"/>
      <c r="B55" s="5" t="s">
        <v>6</v>
      </c>
      <c r="C55" s="5"/>
      <c r="D55" s="5"/>
    </row>
    <row r="56" spans="1:4" x14ac:dyDescent="0.25">
      <c r="A56" s="8" t="s">
        <v>41</v>
      </c>
      <c r="B56" s="8" t="s">
        <v>21</v>
      </c>
      <c r="C56" s="6">
        <v>2</v>
      </c>
    </row>
    <row r="59" spans="1:4" ht="45" x14ac:dyDescent="0.25">
      <c r="A59" s="1" t="s">
        <v>0</v>
      </c>
      <c r="B59" s="2" t="s">
        <v>1</v>
      </c>
      <c r="C59" s="2" t="s">
        <v>2</v>
      </c>
      <c r="D59" s="2" t="s">
        <v>3</v>
      </c>
    </row>
    <row r="60" spans="1:4" x14ac:dyDescent="0.25">
      <c r="A60" s="3" t="s">
        <v>26</v>
      </c>
      <c r="B60" s="1">
        <f>K45</f>
        <v>40468.920000000013</v>
      </c>
      <c r="C60" s="1">
        <f>L45</f>
        <v>33724.100000000006</v>
      </c>
      <c r="D60" s="1">
        <f>M45</f>
        <v>40468.680000000008</v>
      </c>
    </row>
    <row r="61" spans="1:4" x14ac:dyDescent="0.25">
      <c r="A61" s="14" t="s">
        <v>8</v>
      </c>
      <c r="B61" s="15"/>
      <c r="C61" s="16"/>
      <c r="D61" s="1">
        <f>B60-D60</f>
        <v>0.24000000000523869</v>
      </c>
    </row>
    <row r="63" spans="1:4" x14ac:dyDescent="0.25">
      <c r="A63" s="5" t="s">
        <v>27</v>
      </c>
    </row>
    <row r="65" spans="1:14" x14ac:dyDescent="0.25">
      <c r="A65" s="9" t="s">
        <v>28</v>
      </c>
    </row>
    <row r="66" spans="1:14" x14ac:dyDescent="0.25">
      <c r="A66" s="9" t="s">
        <v>29</v>
      </c>
      <c r="B66" s="9"/>
      <c r="C66" s="9"/>
      <c r="D66" s="9"/>
    </row>
    <row r="67" spans="1:14" x14ac:dyDescent="0.25">
      <c r="A67" s="9" t="s">
        <v>30</v>
      </c>
      <c r="B67" s="9"/>
      <c r="C67" s="9"/>
      <c r="D67" s="9"/>
    </row>
    <row r="68" spans="1:14" x14ac:dyDescent="0.25">
      <c r="A68" s="9" t="s">
        <v>31</v>
      </c>
      <c r="B68" s="9"/>
      <c r="C68" s="9"/>
      <c r="D68" s="9"/>
    </row>
    <row r="69" spans="1:14" x14ac:dyDescent="0.25">
      <c r="A69" s="9" t="s">
        <v>32</v>
      </c>
      <c r="B69" s="9"/>
      <c r="C69" s="9"/>
      <c r="D69" s="9"/>
    </row>
    <row r="70" spans="1:14" x14ac:dyDescent="0.25">
      <c r="A70" s="9" t="s">
        <v>33</v>
      </c>
      <c r="B70" s="9"/>
      <c r="C70" s="9"/>
      <c r="D70" s="9"/>
    </row>
    <row r="71" spans="1:14" x14ac:dyDescent="0.25">
      <c r="A71" s="9" t="s">
        <v>34</v>
      </c>
      <c r="B71" s="9"/>
      <c r="C71" s="9"/>
      <c r="D71" s="9"/>
    </row>
    <row r="72" spans="1:14" x14ac:dyDescent="0.25">
      <c r="A72" s="9" t="s">
        <v>35</v>
      </c>
      <c r="B72" s="9"/>
      <c r="C72" s="9"/>
      <c r="D72" s="9"/>
    </row>
    <row r="73" spans="1:14" x14ac:dyDescent="0.25">
      <c r="A73" s="9" t="s">
        <v>36</v>
      </c>
      <c r="B73" s="9"/>
      <c r="C73" s="9"/>
      <c r="D73" s="9"/>
    </row>
    <row r="74" spans="1:14" x14ac:dyDescent="0.25">
      <c r="A74" s="9" t="s">
        <v>37</v>
      </c>
      <c r="B74" s="9"/>
      <c r="C74" s="9"/>
      <c r="D74" s="9"/>
    </row>
    <row r="75" spans="1:14" x14ac:dyDescent="0.25">
      <c r="A75" s="9" t="s">
        <v>38</v>
      </c>
      <c r="B75" s="9"/>
      <c r="C75" s="9"/>
      <c r="D75" s="9"/>
    </row>
    <row r="76" spans="1:14" x14ac:dyDescent="0.25">
      <c r="A76" s="9" t="s">
        <v>40</v>
      </c>
      <c r="B76" s="9"/>
      <c r="C76" s="9"/>
      <c r="D76" s="9"/>
    </row>
    <row r="77" spans="1:14" x14ac:dyDescent="0.25">
      <c r="A77" s="9" t="s">
        <v>39</v>
      </c>
      <c r="B77" s="9"/>
      <c r="C77" s="9"/>
      <c r="D77" s="9"/>
    </row>
    <row r="78" spans="1:14" x14ac:dyDescent="0.25">
      <c r="A78" s="9"/>
      <c r="B78" s="9"/>
      <c r="C78" s="9"/>
      <c r="D78" s="9"/>
    </row>
    <row r="79" spans="1:14" x14ac:dyDescent="0.25">
      <c r="A79" s="9"/>
      <c r="B79" s="9"/>
      <c r="C79" s="9"/>
      <c r="D79" s="9"/>
      <c r="M79">
        <v>464.4</v>
      </c>
      <c r="N79">
        <v>14.14</v>
      </c>
    </row>
    <row r="80" spans="1:14" x14ac:dyDescent="0.25">
      <c r="A80" s="9"/>
      <c r="B80" s="9"/>
      <c r="C80" s="9"/>
      <c r="D80" s="9"/>
      <c r="K80">
        <f>163899.98-102790.32-4850.5-96.96-8554.26-8207.98</f>
        <v>39399.960000000006</v>
      </c>
      <c r="L80">
        <f>122811.17-60942.25-7032.06-77.85-9134.55-11900.36</f>
        <v>33724.100000000006</v>
      </c>
      <c r="M80">
        <f>M79*N79*6</f>
        <v>39399.695999999996</v>
      </c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90" spans="1:4" x14ac:dyDescent="0.25">
      <c r="A90" t="s">
        <v>9</v>
      </c>
    </row>
    <row r="92" spans="1:4" x14ac:dyDescent="0.25">
      <c r="A92" t="s">
        <v>10</v>
      </c>
      <c r="B92" t="s">
        <v>11</v>
      </c>
    </row>
    <row r="100" spans="1:4" ht="15.75" x14ac:dyDescent="0.25">
      <c r="B100" s="4" t="s">
        <v>4</v>
      </c>
      <c r="C100" s="4"/>
    </row>
    <row r="101" spans="1:4" ht="15.75" x14ac:dyDescent="0.25">
      <c r="B101" s="4" t="s">
        <v>5</v>
      </c>
      <c r="C101" s="4"/>
    </row>
    <row r="102" spans="1:4" x14ac:dyDescent="0.25">
      <c r="A102" s="5" t="s">
        <v>25</v>
      </c>
      <c r="B102" s="5"/>
      <c r="C102" s="5"/>
      <c r="D102" s="5"/>
    </row>
    <row r="103" spans="1:4" x14ac:dyDescent="0.25">
      <c r="A103" s="5"/>
      <c r="B103" s="5" t="s">
        <v>6</v>
      </c>
      <c r="C103" s="5"/>
      <c r="D103" s="5"/>
    </row>
    <row r="104" spans="1:4" x14ac:dyDescent="0.25">
      <c r="A104" s="8" t="s">
        <v>41</v>
      </c>
      <c r="B104" s="8" t="s">
        <v>21</v>
      </c>
      <c r="C104" s="6">
        <v>3</v>
      </c>
    </row>
    <row r="107" spans="1:4" ht="45" x14ac:dyDescent="0.25">
      <c r="A107" s="1" t="s">
        <v>0</v>
      </c>
      <c r="B107" s="2" t="s">
        <v>1</v>
      </c>
      <c r="C107" s="2" t="s">
        <v>2</v>
      </c>
      <c r="D107" s="2" t="s">
        <v>3</v>
      </c>
    </row>
    <row r="108" spans="1:4" x14ac:dyDescent="0.25">
      <c r="A108" s="3" t="s">
        <v>26</v>
      </c>
      <c r="B108" s="1">
        <f>K80</f>
        <v>39399.960000000006</v>
      </c>
      <c r="C108" s="1">
        <f>L80</f>
        <v>33724.100000000006</v>
      </c>
      <c r="D108" s="1">
        <f>M80</f>
        <v>39399.695999999996</v>
      </c>
    </row>
    <row r="109" spans="1:4" x14ac:dyDescent="0.25">
      <c r="A109" s="14" t="s">
        <v>8</v>
      </c>
      <c r="B109" s="15"/>
      <c r="C109" s="16"/>
      <c r="D109" s="1">
        <f>B108-D108</f>
        <v>0.26400000001012813</v>
      </c>
    </row>
    <row r="111" spans="1:4" x14ac:dyDescent="0.25">
      <c r="A111" s="5" t="s">
        <v>27</v>
      </c>
    </row>
    <row r="113" spans="1:14" x14ac:dyDescent="0.25">
      <c r="A113" s="9" t="s">
        <v>28</v>
      </c>
    </row>
    <row r="114" spans="1:14" x14ac:dyDescent="0.25">
      <c r="A114" s="9" t="s">
        <v>29</v>
      </c>
      <c r="B114" s="9"/>
      <c r="C114" s="9"/>
      <c r="D114" s="9"/>
      <c r="M114">
        <v>807</v>
      </c>
      <c r="N114">
        <v>14.14</v>
      </c>
    </row>
    <row r="115" spans="1:14" x14ac:dyDescent="0.25">
      <c r="A115" s="9" t="s">
        <v>30</v>
      </c>
      <c r="B115" s="9"/>
      <c r="C115" s="9"/>
      <c r="D115" s="9"/>
      <c r="K115">
        <f>279527.79-161755.2-11376.85-131.4-18544.86-19252.94</f>
        <v>68466.539999999964</v>
      </c>
      <c r="L115">
        <f>230997.39-133375.57-9544.2-108.46-15306.58-16151.59</f>
        <v>56510.990000000005</v>
      </c>
      <c r="M115">
        <f>M114*N114*6</f>
        <v>68465.88</v>
      </c>
    </row>
    <row r="116" spans="1:14" x14ac:dyDescent="0.25">
      <c r="A116" s="9" t="s">
        <v>31</v>
      </c>
      <c r="B116" s="9"/>
      <c r="C116" s="9"/>
      <c r="D116" s="9"/>
    </row>
    <row r="117" spans="1:14" x14ac:dyDescent="0.25">
      <c r="A117" s="9" t="s">
        <v>32</v>
      </c>
      <c r="B117" s="9"/>
      <c r="C117" s="9"/>
      <c r="D117" s="9"/>
    </row>
    <row r="118" spans="1:14" x14ac:dyDescent="0.25">
      <c r="A118" s="9" t="s">
        <v>33</v>
      </c>
      <c r="B118" s="9"/>
      <c r="C118" s="9"/>
      <c r="D118" s="9"/>
    </row>
    <row r="119" spans="1:14" x14ac:dyDescent="0.25">
      <c r="A119" s="9" t="s">
        <v>34</v>
      </c>
      <c r="B119" s="9"/>
      <c r="C119" s="9"/>
      <c r="D119" s="9"/>
    </row>
    <row r="120" spans="1:14" x14ac:dyDescent="0.25">
      <c r="A120" s="9" t="s">
        <v>35</v>
      </c>
      <c r="B120" s="9"/>
      <c r="C120" s="9"/>
      <c r="D120" s="9"/>
    </row>
    <row r="121" spans="1:14" x14ac:dyDescent="0.25">
      <c r="A121" s="9" t="s">
        <v>36</v>
      </c>
      <c r="B121" s="9"/>
      <c r="C121" s="9"/>
      <c r="D121" s="9"/>
    </row>
    <row r="122" spans="1:14" x14ac:dyDescent="0.25">
      <c r="A122" s="9" t="s">
        <v>37</v>
      </c>
      <c r="B122" s="9"/>
      <c r="C122" s="9"/>
      <c r="D122" s="9"/>
    </row>
    <row r="123" spans="1:14" x14ac:dyDescent="0.25">
      <c r="A123" s="9" t="s">
        <v>38</v>
      </c>
      <c r="B123" s="9"/>
      <c r="C123" s="9"/>
      <c r="D123" s="9"/>
    </row>
    <row r="124" spans="1:14" x14ac:dyDescent="0.25">
      <c r="A124" s="9" t="s">
        <v>40</v>
      </c>
      <c r="B124" s="9"/>
      <c r="C124" s="9"/>
      <c r="D124" s="9"/>
    </row>
    <row r="125" spans="1:14" x14ac:dyDescent="0.25">
      <c r="A125" s="9" t="s">
        <v>39</v>
      </c>
      <c r="B125" s="9"/>
      <c r="C125" s="9"/>
      <c r="D125" s="9"/>
    </row>
    <row r="126" spans="1:14" x14ac:dyDescent="0.25">
      <c r="A126" s="9"/>
      <c r="B126" s="9"/>
      <c r="C126" s="9"/>
      <c r="D126" s="9"/>
    </row>
    <row r="127" spans="1:14" x14ac:dyDescent="0.25">
      <c r="A127" s="9"/>
      <c r="B127" s="9"/>
      <c r="C127" s="9"/>
      <c r="D127" s="9"/>
    </row>
    <row r="128" spans="1:14" x14ac:dyDescent="0.25">
      <c r="A128" s="9"/>
      <c r="B128" s="9"/>
      <c r="C128" s="9"/>
      <c r="D128" s="9"/>
    </row>
    <row r="129" spans="1:4" x14ac:dyDescent="0.25">
      <c r="A129" s="9"/>
      <c r="B129" s="9"/>
      <c r="C129" s="9"/>
      <c r="D129" s="9"/>
    </row>
    <row r="130" spans="1:4" x14ac:dyDescent="0.25">
      <c r="A130" s="9"/>
      <c r="B130" s="9"/>
      <c r="C130" s="9"/>
      <c r="D130" s="9"/>
    </row>
    <row r="131" spans="1:4" x14ac:dyDescent="0.25">
      <c r="A131" s="9"/>
      <c r="B131" s="9"/>
      <c r="C131" s="9"/>
      <c r="D131" s="9"/>
    </row>
    <row r="132" spans="1:4" x14ac:dyDescent="0.25">
      <c r="A132" s="9"/>
      <c r="B132" s="9"/>
      <c r="C132" s="9"/>
      <c r="D132" s="9"/>
    </row>
    <row r="138" spans="1:4" x14ac:dyDescent="0.25">
      <c r="A138" t="s">
        <v>9</v>
      </c>
    </row>
    <row r="140" spans="1:4" x14ac:dyDescent="0.25">
      <c r="A140" t="s">
        <v>10</v>
      </c>
      <c r="B140" t="s">
        <v>11</v>
      </c>
    </row>
    <row r="148" spans="1:14" ht="15.75" x14ac:dyDescent="0.25">
      <c r="B148" s="4" t="s">
        <v>4</v>
      </c>
      <c r="C148" s="4"/>
    </row>
    <row r="149" spans="1:14" ht="15.75" x14ac:dyDescent="0.25">
      <c r="B149" s="4" t="s">
        <v>5</v>
      </c>
      <c r="C149" s="4"/>
    </row>
    <row r="150" spans="1:14" x14ac:dyDescent="0.25">
      <c r="A150" s="5" t="s">
        <v>25</v>
      </c>
      <c r="B150" s="5"/>
      <c r="C150" s="5"/>
      <c r="D150" s="5"/>
      <c r="M150">
        <v>786.7</v>
      </c>
      <c r="N150">
        <v>14.14</v>
      </c>
    </row>
    <row r="151" spans="1:14" x14ac:dyDescent="0.25">
      <c r="A151" s="5"/>
      <c r="B151" s="5" t="s">
        <v>6</v>
      </c>
      <c r="C151" s="5"/>
      <c r="D151" s="5"/>
      <c r="K151">
        <f>280879.83-174128.1-9418.54-159.78-14491.02-15938.75</f>
        <v>66743.64</v>
      </c>
      <c r="L151">
        <f>218835.72-133874.98-7337.65-128-11608.87-12417.37</f>
        <v>53468.85</v>
      </c>
      <c r="M151">
        <f>M150*N150*6</f>
        <v>66743.628000000012</v>
      </c>
    </row>
    <row r="152" spans="1:14" x14ac:dyDescent="0.25">
      <c r="A152" s="8" t="s">
        <v>41</v>
      </c>
      <c r="B152" s="8" t="s">
        <v>21</v>
      </c>
      <c r="C152" s="6">
        <v>4</v>
      </c>
    </row>
    <row r="155" spans="1:14" ht="45" x14ac:dyDescent="0.25">
      <c r="A155" s="1" t="s">
        <v>0</v>
      </c>
      <c r="B155" s="2" t="s">
        <v>1</v>
      </c>
      <c r="C155" s="2" t="s">
        <v>2</v>
      </c>
      <c r="D155" s="2" t="s">
        <v>3</v>
      </c>
    </row>
    <row r="156" spans="1:14" x14ac:dyDescent="0.25">
      <c r="A156" s="3" t="s">
        <v>26</v>
      </c>
      <c r="B156" s="1">
        <f>K115</f>
        <v>68466.539999999964</v>
      </c>
      <c r="C156" s="1">
        <f>L115</f>
        <v>56510.990000000005</v>
      </c>
      <c r="D156" s="1">
        <f>M115</f>
        <v>68465.88</v>
      </c>
    </row>
    <row r="157" spans="1:14" x14ac:dyDescent="0.25">
      <c r="A157" s="14" t="s">
        <v>8</v>
      </c>
      <c r="B157" s="15"/>
      <c r="C157" s="16"/>
      <c r="D157" s="1">
        <f>B156-D156</f>
        <v>0.65999999995983671</v>
      </c>
    </row>
    <row r="159" spans="1:14" x14ac:dyDescent="0.25">
      <c r="A159" s="5" t="s">
        <v>27</v>
      </c>
    </row>
    <row r="161" spans="1:4" x14ac:dyDescent="0.25">
      <c r="A161" s="9" t="s">
        <v>28</v>
      </c>
    </row>
    <row r="162" spans="1:4" x14ac:dyDescent="0.25">
      <c r="A162" s="9" t="s">
        <v>29</v>
      </c>
      <c r="B162" s="9"/>
      <c r="C162" s="9"/>
      <c r="D162" s="9"/>
    </row>
    <row r="163" spans="1:4" x14ac:dyDescent="0.25">
      <c r="A163" s="9" t="s">
        <v>30</v>
      </c>
      <c r="B163" s="9"/>
      <c r="C163" s="9"/>
      <c r="D163" s="9"/>
    </row>
    <row r="164" spans="1:4" x14ac:dyDescent="0.25">
      <c r="A164" s="9" t="s">
        <v>31</v>
      </c>
      <c r="B164" s="9"/>
      <c r="C164" s="9"/>
      <c r="D164" s="9"/>
    </row>
    <row r="165" spans="1:4" x14ac:dyDescent="0.25">
      <c r="A165" s="9" t="s">
        <v>32</v>
      </c>
      <c r="B165" s="9"/>
      <c r="C165" s="9"/>
      <c r="D165" s="9"/>
    </row>
    <row r="166" spans="1:4" x14ac:dyDescent="0.25">
      <c r="A166" s="9" t="s">
        <v>33</v>
      </c>
      <c r="B166" s="9"/>
      <c r="C166" s="9"/>
      <c r="D166" s="9"/>
    </row>
    <row r="167" spans="1:4" x14ac:dyDescent="0.25">
      <c r="A167" s="9" t="s">
        <v>34</v>
      </c>
      <c r="B167" s="9"/>
      <c r="C167" s="9"/>
      <c r="D167" s="9"/>
    </row>
    <row r="168" spans="1:4" x14ac:dyDescent="0.25">
      <c r="A168" s="9" t="s">
        <v>35</v>
      </c>
      <c r="B168" s="9"/>
      <c r="C168" s="9"/>
      <c r="D168" s="9"/>
    </row>
    <row r="169" spans="1:4" x14ac:dyDescent="0.25">
      <c r="A169" s="9" t="s">
        <v>36</v>
      </c>
      <c r="B169" s="9"/>
      <c r="C169" s="9"/>
      <c r="D169" s="9"/>
    </row>
    <row r="170" spans="1:4" x14ac:dyDescent="0.25">
      <c r="A170" s="9" t="s">
        <v>37</v>
      </c>
      <c r="B170" s="9"/>
      <c r="C170" s="9"/>
      <c r="D170" s="9"/>
    </row>
    <row r="171" spans="1:4" x14ac:dyDescent="0.25">
      <c r="A171" s="9" t="s">
        <v>38</v>
      </c>
      <c r="B171" s="9"/>
      <c r="C171" s="9"/>
      <c r="D171" s="9"/>
    </row>
    <row r="172" spans="1:4" x14ac:dyDescent="0.25">
      <c r="A172" s="9" t="s">
        <v>40</v>
      </c>
      <c r="B172" s="9"/>
      <c r="C172" s="9"/>
      <c r="D172" s="9"/>
    </row>
    <row r="173" spans="1:4" x14ac:dyDescent="0.25">
      <c r="A173" s="9" t="s">
        <v>39</v>
      </c>
      <c r="B173" s="9"/>
      <c r="C173" s="9"/>
      <c r="D173" s="9"/>
    </row>
    <row r="174" spans="1:4" x14ac:dyDescent="0.25">
      <c r="A174" s="9"/>
      <c r="B174" s="9"/>
      <c r="C174" s="9"/>
      <c r="D174" s="9"/>
    </row>
    <row r="175" spans="1:4" x14ac:dyDescent="0.25">
      <c r="A175" s="9"/>
      <c r="B175" s="9"/>
      <c r="C175" s="9"/>
      <c r="D175" s="9"/>
    </row>
    <row r="176" spans="1:4" x14ac:dyDescent="0.25">
      <c r="A176" s="9"/>
      <c r="B176" s="9"/>
      <c r="C176" s="9"/>
      <c r="D176" s="9"/>
    </row>
    <row r="177" spans="1:14" x14ac:dyDescent="0.25">
      <c r="A177" s="9"/>
      <c r="B177" s="9"/>
      <c r="C177" s="9"/>
      <c r="D177" s="9"/>
    </row>
    <row r="178" spans="1:14" x14ac:dyDescent="0.25">
      <c r="A178" s="9"/>
      <c r="B178" s="9"/>
      <c r="C178" s="9"/>
      <c r="D178" s="9"/>
    </row>
    <row r="179" spans="1:14" x14ac:dyDescent="0.25">
      <c r="A179" s="9"/>
      <c r="B179" s="9"/>
      <c r="C179" s="9"/>
      <c r="D179" s="9"/>
    </row>
    <row r="180" spans="1:14" x14ac:dyDescent="0.25">
      <c r="A180" s="9"/>
      <c r="B180" s="9"/>
      <c r="C180" s="9"/>
      <c r="D180" s="9"/>
    </row>
    <row r="181" spans="1:14" x14ac:dyDescent="0.25">
      <c r="A181" s="9"/>
      <c r="B181" s="9"/>
      <c r="C181" s="9"/>
      <c r="D181" s="9"/>
    </row>
    <row r="182" spans="1:14" x14ac:dyDescent="0.25">
      <c r="A182" s="9"/>
      <c r="B182" s="9"/>
      <c r="C182" s="9"/>
      <c r="D182" s="9"/>
    </row>
    <row r="185" spans="1:14" x14ac:dyDescent="0.25">
      <c r="M185">
        <v>677.2</v>
      </c>
      <c r="N185">
        <v>13.74</v>
      </c>
    </row>
    <row r="186" spans="1:14" x14ac:dyDescent="0.25">
      <c r="A186" t="s">
        <v>9</v>
      </c>
      <c r="K186">
        <f>224910.21-146826.04-9476.39-467-13453.12</f>
        <v>54687.659999999982</v>
      </c>
      <c r="L186">
        <f>153482.51-101261.62-5625.11-322.07-8557.38</f>
        <v>37716.330000000016</v>
      </c>
      <c r="M186">
        <f>M185*N185*6</f>
        <v>55828.368000000002</v>
      </c>
    </row>
    <row r="188" spans="1:14" x14ac:dyDescent="0.25">
      <c r="A188" t="s">
        <v>10</v>
      </c>
      <c r="B188" t="s">
        <v>11</v>
      </c>
    </row>
    <row r="196" spans="1:4" ht="15.75" x14ac:dyDescent="0.25">
      <c r="B196" s="4" t="s">
        <v>4</v>
      </c>
      <c r="C196" s="4"/>
    </row>
    <row r="197" spans="1:4" ht="15.75" x14ac:dyDescent="0.25">
      <c r="B197" s="4" t="s">
        <v>5</v>
      </c>
      <c r="C197" s="4"/>
    </row>
    <row r="198" spans="1:4" x14ac:dyDescent="0.25">
      <c r="A198" s="5" t="s">
        <v>25</v>
      </c>
      <c r="B198" s="5"/>
      <c r="C198" s="5"/>
      <c r="D198" s="5"/>
    </row>
    <row r="199" spans="1:4" x14ac:dyDescent="0.25">
      <c r="A199" s="5"/>
      <c r="B199" s="5" t="s">
        <v>6</v>
      </c>
      <c r="C199" s="5"/>
      <c r="D199" s="5"/>
    </row>
    <row r="200" spans="1:4" x14ac:dyDescent="0.25">
      <c r="A200" s="8" t="s">
        <v>41</v>
      </c>
      <c r="B200" s="8" t="s">
        <v>21</v>
      </c>
      <c r="C200" s="6">
        <v>5</v>
      </c>
    </row>
    <row r="203" spans="1:4" ht="45" x14ac:dyDescent="0.25">
      <c r="A203" s="1" t="s">
        <v>0</v>
      </c>
      <c r="B203" s="2" t="s">
        <v>1</v>
      </c>
      <c r="C203" s="2" t="s">
        <v>2</v>
      </c>
      <c r="D203" s="2" t="s">
        <v>3</v>
      </c>
    </row>
    <row r="204" spans="1:4" x14ac:dyDescent="0.25">
      <c r="A204" s="3" t="s">
        <v>26</v>
      </c>
      <c r="B204" s="1">
        <f>K151</f>
        <v>66743.64</v>
      </c>
      <c r="C204" s="1">
        <f>L151</f>
        <v>53468.85</v>
      </c>
      <c r="D204" s="1">
        <f>M151</f>
        <v>66743.628000000012</v>
      </c>
    </row>
    <row r="205" spans="1:4" x14ac:dyDescent="0.25">
      <c r="A205" s="14" t="s">
        <v>8</v>
      </c>
      <c r="B205" s="15"/>
      <c r="C205" s="16"/>
      <c r="D205" s="1">
        <f>B204-D204</f>
        <v>1.1999999987892807E-2</v>
      </c>
    </row>
    <row r="207" spans="1:4" x14ac:dyDescent="0.25">
      <c r="A207" s="5" t="s">
        <v>27</v>
      </c>
    </row>
    <row r="209" spans="1:14" x14ac:dyDescent="0.25">
      <c r="A209" s="9" t="s">
        <v>28</v>
      </c>
    </row>
    <row r="210" spans="1:14" x14ac:dyDescent="0.25">
      <c r="A210" s="9" t="s">
        <v>29</v>
      </c>
      <c r="B210" s="9"/>
      <c r="C210" s="9"/>
      <c r="D210" s="9"/>
    </row>
    <row r="211" spans="1:14" x14ac:dyDescent="0.25">
      <c r="A211" s="9" t="s">
        <v>30</v>
      </c>
      <c r="B211" s="9"/>
      <c r="C211" s="9"/>
      <c r="D211" s="9"/>
    </row>
    <row r="212" spans="1:14" x14ac:dyDescent="0.25">
      <c r="A212" s="9" t="s">
        <v>31</v>
      </c>
      <c r="B212" s="9"/>
      <c r="C212" s="9"/>
      <c r="D212" s="9"/>
    </row>
    <row r="213" spans="1:14" x14ac:dyDescent="0.25">
      <c r="A213" s="9" t="s">
        <v>32</v>
      </c>
      <c r="B213" s="9"/>
      <c r="C213" s="9"/>
      <c r="D213" s="9"/>
    </row>
    <row r="214" spans="1:14" x14ac:dyDescent="0.25">
      <c r="A214" s="9" t="s">
        <v>33</v>
      </c>
      <c r="B214" s="9"/>
      <c r="C214" s="9"/>
      <c r="D214" s="9"/>
    </row>
    <row r="215" spans="1:14" x14ac:dyDescent="0.25">
      <c r="A215" s="9" t="s">
        <v>34</v>
      </c>
      <c r="B215" s="9"/>
      <c r="C215" s="9"/>
      <c r="D215" s="9"/>
    </row>
    <row r="216" spans="1:14" x14ac:dyDescent="0.25">
      <c r="A216" s="9" t="s">
        <v>35</v>
      </c>
      <c r="B216" s="9"/>
      <c r="C216" s="9"/>
      <c r="D216" s="9"/>
    </row>
    <row r="217" spans="1:14" x14ac:dyDescent="0.25">
      <c r="A217" s="9" t="s">
        <v>36</v>
      </c>
      <c r="B217" s="9"/>
      <c r="C217" s="9"/>
      <c r="D217" s="9"/>
    </row>
    <row r="218" spans="1:14" x14ac:dyDescent="0.25">
      <c r="A218" s="9" t="s">
        <v>37</v>
      </c>
      <c r="B218" s="9"/>
      <c r="C218" s="9"/>
      <c r="D218" s="9"/>
    </row>
    <row r="219" spans="1:14" x14ac:dyDescent="0.25">
      <c r="A219" s="9" t="s">
        <v>38</v>
      </c>
      <c r="B219" s="9"/>
      <c r="C219" s="9"/>
      <c r="D219" s="9"/>
    </row>
    <row r="220" spans="1:14" x14ac:dyDescent="0.25">
      <c r="A220" s="9" t="s">
        <v>40</v>
      </c>
      <c r="B220" s="9"/>
      <c r="C220" s="9"/>
      <c r="D220" s="9"/>
      <c r="M220">
        <v>539.6</v>
      </c>
      <c r="N220">
        <v>14.14</v>
      </c>
    </row>
    <row r="221" spans="1:14" x14ac:dyDescent="0.25">
      <c r="A221" s="9" t="s">
        <v>39</v>
      </c>
      <c r="B221" s="9"/>
      <c r="C221" s="9"/>
      <c r="D221" s="9"/>
      <c r="K221">
        <f>192585.3-110603.64-8791.24-132.72-12400.02-14877.44</f>
        <v>45780.239999999976</v>
      </c>
      <c r="L221">
        <f>164916.29-95195.56-7298.29-113.96-10647.51-12350.96</f>
        <v>39310.010000000009</v>
      </c>
      <c r="M221">
        <f>M220*N220*6</f>
        <v>45779.664000000004</v>
      </c>
    </row>
    <row r="222" spans="1:14" x14ac:dyDescent="0.25">
      <c r="A222" s="9"/>
      <c r="B222" s="9"/>
      <c r="C222" s="9"/>
      <c r="D222" s="9"/>
    </row>
    <row r="223" spans="1:14" x14ac:dyDescent="0.25">
      <c r="A223" s="9"/>
      <c r="B223" s="9"/>
      <c r="C223" s="9"/>
      <c r="D223" s="9"/>
    </row>
    <row r="224" spans="1:14" x14ac:dyDescent="0.25">
      <c r="A224" s="9"/>
      <c r="B224" s="9"/>
      <c r="C224" s="9"/>
      <c r="D224" s="9"/>
    </row>
    <row r="225" spans="1:4" x14ac:dyDescent="0.25">
      <c r="A225" s="9"/>
      <c r="B225" s="9"/>
      <c r="C225" s="9"/>
      <c r="D225" s="9"/>
    </row>
    <row r="226" spans="1:4" x14ac:dyDescent="0.25">
      <c r="A226" s="9"/>
      <c r="B226" s="9"/>
      <c r="C226" s="9"/>
      <c r="D226" s="9"/>
    </row>
    <row r="227" spans="1:4" x14ac:dyDescent="0.25">
      <c r="A227" s="9"/>
      <c r="B227" s="9"/>
      <c r="C227" s="9"/>
      <c r="D227" s="9"/>
    </row>
    <row r="228" spans="1:4" x14ac:dyDescent="0.25">
      <c r="A228" s="9"/>
      <c r="B228" s="9"/>
      <c r="C228" s="9"/>
      <c r="D228" s="9"/>
    </row>
    <row r="234" spans="1:4" x14ac:dyDescent="0.25">
      <c r="A234" t="s">
        <v>9</v>
      </c>
    </row>
    <row r="236" spans="1:4" x14ac:dyDescent="0.25">
      <c r="A236" t="s">
        <v>10</v>
      </c>
      <c r="B236" t="s">
        <v>11</v>
      </c>
    </row>
    <row r="244" spans="1:14" ht="15.75" x14ac:dyDescent="0.25">
      <c r="B244" s="4" t="s">
        <v>4</v>
      </c>
      <c r="C244" s="4"/>
    </row>
    <row r="245" spans="1:14" ht="15.75" x14ac:dyDescent="0.25">
      <c r="B245" s="4" t="s">
        <v>5</v>
      </c>
      <c r="C245" s="4"/>
    </row>
    <row r="246" spans="1:14" x14ac:dyDescent="0.25">
      <c r="A246" s="5" t="s">
        <v>25</v>
      </c>
      <c r="B246" s="5"/>
      <c r="C246" s="5"/>
      <c r="D246" s="5"/>
    </row>
    <row r="247" spans="1:14" x14ac:dyDescent="0.25">
      <c r="A247" s="5"/>
      <c r="B247" s="5" t="s">
        <v>6</v>
      </c>
      <c r="C247" s="5"/>
      <c r="D247" s="5"/>
    </row>
    <row r="248" spans="1:14" x14ac:dyDescent="0.25">
      <c r="A248" s="8" t="s">
        <v>41</v>
      </c>
      <c r="B248" s="8" t="s">
        <v>21</v>
      </c>
      <c r="C248" s="6">
        <v>7</v>
      </c>
    </row>
    <row r="251" spans="1:14" ht="45" x14ac:dyDescent="0.25">
      <c r="A251" s="1" t="s">
        <v>0</v>
      </c>
      <c r="B251" s="2" t="s">
        <v>1</v>
      </c>
      <c r="C251" s="2" t="s">
        <v>2</v>
      </c>
      <c r="D251" s="2" t="s">
        <v>3</v>
      </c>
    </row>
    <row r="252" spans="1:14" x14ac:dyDescent="0.25">
      <c r="A252" s="3" t="s">
        <v>26</v>
      </c>
      <c r="B252" s="1">
        <f>K186</f>
        <v>54687.659999999982</v>
      </c>
      <c r="C252" s="1">
        <f>L186</f>
        <v>37716.330000000016</v>
      </c>
      <c r="D252" s="1">
        <f>M186</f>
        <v>55828.368000000002</v>
      </c>
    </row>
    <row r="253" spans="1:14" x14ac:dyDescent="0.25">
      <c r="A253" s="14" t="s">
        <v>12</v>
      </c>
      <c r="B253" s="15"/>
      <c r="C253" s="16"/>
      <c r="D253" s="1">
        <f>B252-D252</f>
        <v>-1140.7080000000205</v>
      </c>
    </row>
    <row r="255" spans="1:14" x14ac:dyDescent="0.25">
      <c r="A255" s="5" t="s">
        <v>27</v>
      </c>
      <c r="M255">
        <v>281.60000000000002</v>
      </c>
      <c r="N255">
        <v>14.14</v>
      </c>
    </row>
    <row r="256" spans="1:14" x14ac:dyDescent="0.25">
      <c r="K256">
        <f>100196.62-62329.32-3244.3-54.54-5187.18-5489.88</f>
        <v>23891.399999999991</v>
      </c>
      <c r="L256">
        <f>81053.67-50731.11-2455.46-44.39-4221.95-4155.06</f>
        <v>19445.699999999997</v>
      </c>
      <c r="M256">
        <f>M255*N255*6</f>
        <v>23890.944000000003</v>
      </c>
    </row>
    <row r="257" spans="1:4" x14ac:dyDescent="0.25">
      <c r="A257" s="9" t="s">
        <v>28</v>
      </c>
    </row>
    <row r="258" spans="1:4" x14ac:dyDescent="0.25">
      <c r="A258" s="9" t="s">
        <v>29</v>
      </c>
      <c r="B258" s="9"/>
      <c r="C258" s="9"/>
      <c r="D258" s="9"/>
    </row>
    <row r="259" spans="1:4" x14ac:dyDescent="0.25">
      <c r="A259" s="9" t="s">
        <v>30</v>
      </c>
      <c r="B259" s="9"/>
      <c r="C259" s="9"/>
      <c r="D259" s="9"/>
    </row>
    <row r="260" spans="1:4" x14ac:dyDescent="0.25">
      <c r="A260" s="9" t="s">
        <v>31</v>
      </c>
      <c r="B260" s="9"/>
      <c r="C260" s="9"/>
      <c r="D260" s="9"/>
    </row>
    <row r="261" spans="1:4" x14ac:dyDescent="0.25">
      <c r="A261" s="9" t="s">
        <v>32</v>
      </c>
      <c r="B261" s="9"/>
      <c r="C261" s="9"/>
      <c r="D261" s="9"/>
    </row>
    <row r="262" spans="1:4" x14ac:dyDescent="0.25">
      <c r="A262" s="9" t="s">
        <v>33</v>
      </c>
      <c r="B262" s="9"/>
      <c r="C262" s="9"/>
      <c r="D262" s="9"/>
    </row>
    <row r="263" spans="1:4" x14ac:dyDescent="0.25">
      <c r="A263" s="9" t="s">
        <v>34</v>
      </c>
      <c r="B263" s="9"/>
      <c r="C263" s="9"/>
      <c r="D263" s="9"/>
    </row>
    <row r="264" spans="1:4" x14ac:dyDescent="0.25">
      <c r="A264" s="9" t="s">
        <v>35</v>
      </c>
      <c r="B264" s="9"/>
      <c r="C264" s="9"/>
      <c r="D264" s="9"/>
    </row>
    <row r="265" spans="1:4" x14ac:dyDescent="0.25">
      <c r="A265" s="9" t="s">
        <v>36</v>
      </c>
      <c r="B265" s="9"/>
      <c r="C265" s="9"/>
      <c r="D265" s="9"/>
    </row>
    <row r="266" spans="1:4" x14ac:dyDescent="0.25">
      <c r="A266" s="9" t="s">
        <v>37</v>
      </c>
      <c r="B266" s="9"/>
      <c r="C266" s="9"/>
      <c r="D266" s="9"/>
    </row>
    <row r="267" spans="1:4" x14ac:dyDescent="0.25">
      <c r="A267" s="9" t="s">
        <v>38</v>
      </c>
      <c r="B267" s="9"/>
      <c r="C267" s="9"/>
      <c r="D267" s="9"/>
    </row>
    <row r="268" spans="1:4" x14ac:dyDescent="0.25">
      <c r="A268" s="9" t="s">
        <v>40</v>
      </c>
      <c r="B268" s="9"/>
      <c r="C268" s="9"/>
      <c r="D268" s="9"/>
    </row>
    <row r="269" spans="1:4" x14ac:dyDescent="0.25">
      <c r="A269" s="9" t="s">
        <v>39</v>
      </c>
      <c r="B269" s="9"/>
      <c r="C269" s="9"/>
      <c r="D269" s="9"/>
    </row>
    <row r="270" spans="1:4" x14ac:dyDescent="0.25">
      <c r="A270" s="9"/>
      <c r="B270" s="9"/>
      <c r="C270" s="9"/>
      <c r="D270" s="9"/>
    </row>
    <row r="271" spans="1:4" x14ac:dyDescent="0.25">
      <c r="A271" s="9"/>
      <c r="B271" s="9"/>
      <c r="C271" s="9"/>
      <c r="D271" s="9"/>
    </row>
    <row r="272" spans="1:4" x14ac:dyDescent="0.25">
      <c r="A272" s="9"/>
      <c r="B272" s="9"/>
      <c r="C272" s="9"/>
      <c r="D272" s="9"/>
    </row>
    <row r="273" spans="1:4" x14ac:dyDescent="0.25">
      <c r="A273" s="9"/>
      <c r="B273" s="9"/>
      <c r="C273" s="9"/>
      <c r="D273" s="9"/>
    </row>
    <row r="274" spans="1:4" x14ac:dyDescent="0.25">
      <c r="A274" s="9"/>
      <c r="B274" s="9"/>
      <c r="C274" s="9"/>
      <c r="D274" s="9"/>
    </row>
    <row r="275" spans="1:4" x14ac:dyDescent="0.25">
      <c r="A275" s="9"/>
      <c r="B275" s="9"/>
      <c r="C275" s="9"/>
      <c r="D275" s="9"/>
    </row>
    <row r="276" spans="1:4" x14ac:dyDescent="0.25">
      <c r="A276" s="9"/>
      <c r="B276" s="9"/>
      <c r="C276" s="9"/>
      <c r="D276" s="9"/>
    </row>
    <row r="282" spans="1:4" x14ac:dyDescent="0.25">
      <c r="A282" t="s">
        <v>9</v>
      </c>
    </row>
    <row r="284" spans="1:4" x14ac:dyDescent="0.25">
      <c r="A284" t="s">
        <v>10</v>
      </c>
      <c r="B284" t="s">
        <v>11</v>
      </c>
    </row>
    <row r="291" spans="1:14" x14ac:dyDescent="0.25">
      <c r="M291">
        <v>397.2</v>
      </c>
      <c r="N291">
        <v>14.14</v>
      </c>
    </row>
    <row r="292" spans="1:14" ht="15.75" x14ac:dyDescent="0.25">
      <c r="B292" s="4" t="s">
        <v>4</v>
      </c>
      <c r="C292" s="4"/>
      <c r="K292">
        <f>153311.04-87916.26-8339.39-116.46-9127.68-14112.43</f>
        <v>33698.820000000014</v>
      </c>
      <c r="L292">
        <f>130625.26-74927.29-7094.21-99.25-7779.13-12005.3</f>
        <v>28720.080000000005</v>
      </c>
      <c r="M292">
        <f>M291*N291*6</f>
        <v>33698.448000000004</v>
      </c>
    </row>
    <row r="293" spans="1:14" ht="15.75" x14ac:dyDescent="0.25">
      <c r="B293" s="4" t="s">
        <v>5</v>
      </c>
      <c r="C293" s="4"/>
    </row>
    <row r="294" spans="1:14" x14ac:dyDescent="0.25">
      <c r="A294" s="5" t="s">
        <v>25</v>
      </c>
      <c r="B294" s="5"/>
      <c r="C294" s="5"/>
      <c r="D294" s="5"/>
    </row>
    <row r="295" spans="1:14" x14ac:dyDescent="0.25">
      <c r="A295" s="5"/>
      <c r="B295" s="5" t="s">
        <v>6</v>
      </c>
      <c r="C295" s="5"/>
      <c r="D295" s="5"/>
    </row>
    <row r="296" spans="1:14" x14ac:dyDescent="0.25">
      <c r="A296" s="8" t="s">
        <v>41</v>
      </c>
      <c r="B296" s="8" t="s">
        <v>21</v>
      </c>
      <c r="C296" s="6">
        <v>14</v>
      </c>
    </row>
    <row r="299" spans="1:14" ht="45" x14ac:dyDescent="0.25">
      <c r="A299" s="1" t="s">
        <v>0</v>
      </c>
      <c r="B299" s="2" t="s">
        <v>1</v>
      </c>
      <c r="C299" s="2" t="s">
        <v>2</v>
      </c>
      <c r="D299" s="2" t="s">
        <v>3</v>
      </c>
    </row>
    <row r="300" spans="1:14" x14ac:dyDescent="0.25">
      <c r="A300" s="3" t="s">
        <v>26</v>
      </c>
      <c r="B300" s="1">
        <f>K221</f>
        <v>45780.239999999976</v>
      </c>
      <c r="C300" s="1">
        <f>L221</f>
        <v>39310.010000000009</v>
      </c>
      <c r="D300" s="1">
        <f>M221</f>
        <v>45779.664000000004</v>
      </c>
    </row>
    <row r="301" spans="1:14" x14ac:dyDescent="0.25">
      <c r="A301" s="14" t="s">
        <v>8</v>
      </c>
      <c r="B301" s="15"/>
      <c r="C301" s="16"/>
      <c r="D301" s="1">
        <f>B300-D300</f>
        <v>0.57599999997182749</v>
      </c>
    </row>
    <row r="303" spans="1:14" x14ac:dyDescent="0.25">
      <c r="A303" s="5" t="s">
        <v>27</v>
      </c>
    </row>
    <row r="305" spans="1:4" x14ac:dyDescent="0.25">
      <c r="A305" s="9" t="s">
        <v>28</v>
      </c>
    </row>
    <row r="306" spans="1:4" x14ac:dyDescent="0.25">
      <c r="A306" s="9" t="s">
        <v>29</v>
      </c>
      <c r="B306" s="9"/>
      <c r="C306" s="9"/>
      <c r="D306" s="9"/>
    </row>
    <row r="307" spans="1:4" x14ac:dyDescent="0.25">
      <c r="A307" s="9" t="s">
        <v>30</v>
      </c>
      <c r="B307" s="9"/>
      <c r="C307" s="9"/>
      <c r="D307" s="9"/>
    </row>
    <row r="308" spans="1:4" x14ac:dyDescent="0.25">
      <c r="A308" s="9" t="s">
        <v>31</v>
      </c>
      <c r="B308" s="9"/>
      <c r="C308" s="9"/>
      <c r="D308" s="9"/>
    </row>
    <row r="309" spans="1:4" x14ac:dyDescent="0.25">
      <c r="A309" s="9" t="s">
        <v>32</v>
      </c>
      <c r="B309" s="9"/>
      <c r="C309" s="9"/>
      <c r="D309" s="9"/>
    </row>
    <row r="310" spans="1:4" x14ac:dyDescent="0.25">
      <c r="A310" s="9" t="s">
        <v>33</v>
      </c>
      <c r="B310" s="9"/>
      <c r="C310" s="9"/>
      <c r="D310" s="9"/>
    </row>
    <row r="311" spans="1:4" x14ac:dyDescent="0.25">
      <c r="A311" s="9" t="s">
        <v>34</v>
      </c>
      <c r="B311" s="9"/>
      <c r="C311" s="9"/>
      <c r="D311" s="9"/>
    </row>
    <row r="312" spans="1:4" x14ac:dyDescent="0.25">
      <c r="A312" s="9" t="s">
        <v>35</v>
      </c>
      <c r="B312" s="9"/>
      <c r="C312" s="9"/>
      <c r="D312" s="9"/>
    </row>
    <row r="313" spans="1:4" x14ac:dyDescent="0.25">
      <c r="A313" s="9" t="s">
        <v>36</v>
      </c>
      <c r="B313" s="9"/>
      <c r="C313" s="9"/>
      <c r="D313" s="9"/>
    </row>
    <row r="314" spans="1:4" x14ac:dyDescent="0.25">
      <c r="A314" s="9" t="s">
        <v>37</v>
      </c>
      <c r="B314" s="9"/>
      <c r="C314" s="9"/>
      <c r="D314" s="9"/>
    </row>
    <row r="315" spans="1:4" x14ac:dyDescent="0.25">
      <c r="A315" s="9" t="s">
        <v>38</v>
      </c>
      <c r="B315" s="9"/>
      <c r="C315" s="9"/>
      <c r="D315" s="9"/>
    </row>
    <row r="316" spans="1:4" x14ac:dyDescent="0.25">
      <c r="A316" s="9" t="s">
        <v>40</v>
      </c>
      <c r="B316" s="9"/>
      <c r="C316" s="9"/>
      <c r="D316" s="9"/>
    </row>
    <row r="317" spans="1:4" x14ac:dyDescent="0.25">
      <c r="A317" s="9" t="s">
        <v>39</v>
      </c>
      <c r="B317" s="9"/>
      <c r="C317" s="9"/>
      <c r="D317" s="9"/>
    </row>
    <row r="318" spans="1:4" x14ac:dyDescent="0.25">
      <c r="A318" s="9"/>
      <c r="B318" s="9"/>
      <c r="C318" s="9"/>
      <c r="D318" s="9"/>
    </row>
    <row r="319" spans="1:4" x14ac:dyDescent="0.25">
      <c r="A319" s="9"/>
      <c r="B319" s="9"/>
      <c r="C319" s="9"/>
      <c r="D319" s="9"/>
    </row>
    <row r="320" spans="1:4" x14ac:dyDescent="0.25">
      <c r="A320" s="9"/>
      <c r="B320" s="9"/>
      <c r="C320" s="9"/>
      <c r="D320" s="9"/>
    </row>
    <row r="321" spans="1:14" x14ac:dyDescent="0.25">
      <c r="A321" s="9"/>
      <c r="B321" s="9"/>
      <c r="C321" s="9"/>
      <c r="D321" s="9"/>
    </row>
    <row r="322" spans="1:14" x14ac:dyDescent="0.25">
      <c r="A322" s="9"/>
      <c r="B322" s="9"/>
      <c r="C322" s="9"/>
      <c r="D322" s="9"/>
    </row>
    <row r="323" spans="1:14" x14ac:dyDescent="0.25">
      <c r="A323" s="9"/>
      <c r="B323" s="9"/>
      <c r="C323" s="9"/>
      <c r="D323" s="9"/>
    </row>
    <row r="324" spans="1:14" x14ac:dyDescent="0.25">
      <c r="A324" s="9"/>
      <c r="B324" s="9"/>
      <c r="C324" s="9"/>
      <c r="D324" s="9"/>
    </row>
    <row r="326" spans="1:14" x14ac:dyDescent="0.25">
      <c r="M326">
        <v>556.4</v>
      </c>
      <c r="N326">
        <v>14.14</v>
      </c>
    </row>
    <row r="327" spans="1:14" x14ac:dyDescent="0.25">
      <c r="K327">
        <f>211724.38-123153.54-11506.91-138.18-10248.9-19471.31</f>
        <v>47205.540000000023</v>
      </c>
      <c r="L327">
        <f>118546.43-69575.56-6104.39-78.09-5790.12-10329.64</f>
        <v>26668.629999999997</v>
      </c>
      <c r="M327">
        <f>M326*N326*6</f>
        <v>47204.976000000002</v>
      </c>
    </row>
    <row r="330" spans="1:14" x14ac:dyDescent="0.25">
      <c r="A330" t="s">
        <v>9</v>
      </c>
    </row>
    <row r="332" spans="1:14" x14ac:dyDescent="0.25">
      <c r="A332" t="s">
        <v>10</v>
      </c>
      <c r="B332" t="s">
        <v>11</v>
      </c>
    </row>
    <row r="340" spans="1:4" ht="15.75" x14ac:dyDescent="0.25">
      <c r="B340" s="4" t="s">
        <v>4</v>
      </c>
      <c r="C340" s="4"/>
    </row>
    <row r="341" spans="1:4" ht="15.75" x14ac:dyDescent="0.25">
      <c r="B341" s="4" t="s">
        <v>5</v>
      </c>
      <c r="C341" s="4"/>
    </row>
    <row r="342" spans="1:4" x14ac:dyDescent="0.25">
      <c r="A342" s="5" t="s">
        <v>25</v>
      </c>
      <c r="B342" s="5"/>
      <c r="C342" s="5"/>
      <c r="D342" s="5"/>
    </row>
    <row r="343" spans="1:4" x14ac:dyDescent="0.25">
      <c r="A343" s="5"/>
      <c r="B343" s="5" t="s">
        <v>6</v>
      </c>
      <c r="C343" s="5"/>
      <c r="D343" s="5"/>
    </row>
    <row r="344" spans="1:4" x14ac:dyDescent="0.25">
      <c r="A344" s="8" t="s">
        <v>41</v>
      </c>
      <c r="B344" s="8" t="s">
        <v>21</v>
      </c>
      <c r="C344" s="6">
        <v>15</v>
      </c>
    </row>
    <row r="347" spans="1:4" ht="45" x14ac:dyDescent="0.25">
      <c r="A347" s="1" t="s">
        <v>0</v>
      </c>
      <c r="B347" s="2" t="s">
        <v>1</v>
      </c>
      <c r="C347" s="2" t="s">
        <v>2</v>
      </c>
      <c r="D347" s="2" t="s">
        <v>3</v>
      </c>
    </row>
    <row r="348" spans="1:4" x14ac:dyDescent="0.25">
      <c r="A348" s="3" t="s">
        <v>26</v>
      </c>
      <c r="B348" s="1">
        <f>K256</f>
        <v>23891.399999999991</v>
      </c>
      <c r="C348" s="1">
        <f>L256</f>
        <v>19445.699999999997</v>
      </c>
      <c r="D348" s="1">
        <f>M256</f>
        <v>23890.944000000003</v>
      </c>
    </row>
    <row r="349" spans="1:4" x14ac:dyDescent="0.25">
      <c r="A349" s="14" t="s">
        <v>8</v>
      </c>
      <c r="B349" s="15"/>
      <c r="C349" s="16"/>
      <c r="D349" s="1">
        <f>B348-D348</f>
        <v>0.45599999998739804</v>
      </c>
    </row>
    <row r="351" spans="1:4" x14ac:dyDescent="0.25">
      <c r="A351" s="5" t="s">
        <v>27</v>
      </c>
    </row>
    <row r="353" spans="1:14" x14ac:dyDescent="0.25">
      <c r="A353" s="9" t="s">
        <v>28</v>
      </c>
    </row>
    <row r="354" spans="1:14" x14ac:dyDescent="0.25">
      <c r="A354" s="9" t="s">
        <v>29</v>
      </c>
      <c r="B354" s="9"/>
      <c r="C354" s="9"/>
      <c r="D354" s="9"/>
    </row>
    <row r="355" spans="1:14" x14ac:dyDescent="0.25">
      <c r="A355" s="9" t="s">
        <v>30</v>
      </c>
      <c r="B355" s="9"/>
      <c r="C355" s="9"/>
      <c r="D355" s="9"/>
    </row>
    <row r="356" spans="1:14" x14ac:dyDescent="0.25">
      <c r="A356" s="9" t="s">
        <v>31</v>
      </c>
      <c r="B356" s="9"/>
      <c r="C356" s="9"/>
      <c r="D356" s="9"/>
    </row>
    <row r="357" spans="1:14" x14ac:dyDescent="0.25">
      <c r="A357" s="9" t="s">
        <v>32</v>
      </c>
      <c r="B357" s="9"/>
      <c r="C357" s="9"/>
      <c r="D357" s="9"/>
    </row>
    <row r="358" spans="1:14" x14ac:dyDescent="0.25">
      <c r="A358" s="9" t="s">
        <v>33</v>
      </c>
      <c r="B358" s="9"/>
      <c r="C358" s="9"/>
      <c r="D358" s="9"/>
    </row>
    <row r="359" spans="1:14" x14ac:dyDescent="0.25">
      <c r="A359" s="9" t="s">
        <v>34</v>
      </c>
      <c r="B359" s="9"/>
      <c r="C359" s="9"/>
      <c r="D359" s="9"/>
    </row>
    <row r="360" spans="1:14" x14ac:dyDescent="0.25">
      <c r="A360" s="9" t="s">
        <v>35</v>
      </c>
      <c r="B360" s="9"/>
      <c r="C360" s="9"/>
      <c r="D360" s="9"/>
    </row>
    <row r="361" spans="1:14" x14ac:dyDescent="0.25">
      <c r="A361" s="9" t="s">
        <v>36</v>
      </c>
      <c r="B361" s="9"/>
      <c r="C361" s="9"/>
      <c r="D361" s="9"/>
      <c r="M361">
        <v>695.71</v>
      </c>
      <c r="N361">
        <v>14.14</v>
      </c>
    </row>
    <row r="362" spans="1:14" x14ac:dyDescent="0.25">
      <c r="A362" s="9" t="s">
        <v>37</v>
      </c>
      <c r="B362" s="9"/>
      <c r="C362" s="9"/>
      <c r="D362" s="9"/>
      <c r="K362">
        <f>275653.36-153988.5-17267.96-163.14-15987.36-29222.12</f>
        <v>59024.28</v>
      </c>
      <c r="L362">
        <f>184243.68-106435.24-9600.91-112.77-11050.32-16247.57</f>
        <v>40796.869999999981</v>
      </c>
      <c r="M362">
        <f>M361*N361*6</f>
        <v>59024.036400000005</v>
      </c>
    </row>
    <row r="363" spans="1:14" x14ac:dyDescent="0.25">
      <c r="A363" s="9" t="s">
        <v>38</v>
      </c>
      <c r="B363" s="9"/>
      <c r="C363" s="9"/>
      <c r="D363" s="9"/>
    </row>
    <row r="364" spans="1:14" x14ac:dyDescent="0.25">
      <c r="A364" s="9" t="s">
        <v>40</v>
      </c>
      <c r="B364" s="9"/>
      <c r="C364" s="9"/>
      <c r="D364" s="9"/>
    </row>
    <row r="365" spans="1:14" x14ac:dyDescent="0.25">
      <c r="A365" s="9" t="s">
        <v>39</v>
      </c>
      <c r="B365" s="9"/>
      <c r="C365" s="9"/>
      <c r="D365" s="9"/>
    </row>
    <row r="366" spans="1:14" x14ac:dyDescent="0.25">
      <c r="A366" s="9"/>
      <c r="B366" s="9"/>
      <c r="C366" s="9"/>
      <c r="D366" s="9"/>
    </row>
    <row r="367" spans="1:14" x14ac:dyDescent="0.25">
      <c r="A367" s="9"/>
      <c r="B367" s="9"/>
      <c r="C367" s="9"/>
      <c r="D367" s="9"/>
    </row>
    <row r="368" spans="1:14" x14ac:dyDescent="0.25">
      <c r="A368" s="9"/>
      <c r="B368" s="9"/>
      <c r="C368" s="9"/>
      <c r="D368" s="9"/>
    </row>
    <row r="369" spans="1:4" x14ac:dyDescent="0.25">
      <c r="A369" s="9"/>
      <c r="B369" s="9"/>
      <c r="C369" s="9"/>
      <c r="D369" s="9"/>
    </row>
    <row r="370" spans="1:4" x14ac:dyDescent="0.25">
      <c r="A370" s="9"/>
      <c r="B370" s="9"/>
      <c r="C370" s="9"/>
      <c r="D370" s="9"/>
    </row>
    <row r="371" spans="1:4" x14ac:dyDescent="0.25">
      <c r="A371" s="9"/>
      <c r="B371" s="9"/>
      <c r="C371" s="9"/>
      <c r="D371" s="9"/>
    </row>
    <row r="372" spans="1:4" x14ac:dyDescent="0.25">
      <c r="A372" s="9"/>
      <c r="B372" s="9"/>
      <c r="C372" s="9"/>
      <c r="D372" s="9"/>
    </row>
    <row r="378" spans="1:4" x14ac:dyDescent="0.25">
      <c r="A378" t="s">
        <v>9</v>
      </c>
    </row>
    <row r="380" spans="1:4" x14ac:dyDescent="0.25">
      <c r="A380" t="s">
        <v>10</v>
      </c>
      <c r="B380" t="s">
        <v>11</v>
      </c>
    </row>
    <row r="388" spans="1:14" ht="15.75" x14ac:dyDescent="0.25">
      <c r="B388" s="4" t="s">
        <v>4</v>
      </c>
      <c r="C388" s="4"/>
    </row>
    <row r="389" spans="1:14" ht="15.75" x14ac:dyDescent="0.25">
      <c r="B389" s="4" t="s">
        <v>5</v>
      </c>
      <c r="C389" s="4"/>
    </row>
    <row r="390" spans="1:14" x14ac:dyDescent="0.25">
      <c r="A390" s="5" t="s">
        <v>25</v>
      </c>
      <c r="B390" s="5"/>
      <c r="C390" s="5"/>
      <c r="D390" s="5"/>
    </row>
    <row r="391" spans="1:14" x14ac:dyDescent="0.25">
      <c r="A391" s="5"/>
      <c r="B391" s="5" t="s">
        <v>6</v>
      </c>
      <c r="C391" s="5"/>
      <c r="D391" s="5"/>
    </row>
    <row r="392" spans="1:14" x14ac:dyDescent="0.25">
      <c r="A392" s="8" t="s">
        <v>41</v>
      </c>
      <c r="B392" s="8" t="s">
        <v>21</v>
      </c>
      <c r="C392" s="6">
        <v>16</v>
      </c>
    </row>
    <row r="395" spans="1:14" ht="45" x14ac:dyDescent="0.25">
      <c r="A395" s="1" t="s">
        <v>0</v>
      </c>
      <c r="B395" s="2" t="s">
        <v>1</v>
      </c>
      <c r="C395" s="2" t="s">
        <v>2</v>
      </c>
      <c r="D395" s="2" t="s">
        <v>3</v>
      </c>
    </row>
    <row r="396" spans="1:14" x14ac:dyDescent="0.25">
      <c r="A396" s="3" t="s">
        <v>26</v>
      </c>
      <c r="B396" s="1">
        <f>K292</f>
        <v>33698.820000000014</v>
      </c>
      <c r="C396" s="1">
        <f>L292</f>
        <v>28720.080000000005</v>
      </c>
      <c r="D396" s="1">
        <f>M292</f>
        <v>33698.448000000004</v>
      </c>
      <c r="M396">
        <v>279.2</v>
      </c>
      <c r="N396">
        <v>14.14</v>
      </c>
    </row>
    <row r="397" spans="1:14" x14ac:dyDescent="0.25">
      <c r="A397" s="14" t="s">
        <v>8</v>
      </c>
      <c r="B397" s="15"/>
      <c r="C397" s="16"/>
      <c r="D397" s="1">
        <f>B396-D396</f>
        <v>0.37200000001030276</v>
      </c>
      <c r="K397">
        <f>101874.85-61798.14-4153.87-62.76-5142.84-7029.6</f>
        <v>23687.64</v>
      </c>
      <c r="L397">
        <f>81106.67-49218.65-3296.88-49.98-4095.98-5579.34</f>
        <v>18865.839999999997</v>
      </c>
      <c r="M397">
        <f>M396*N396*6</f>
        <v>23687.328000000001</v>
      </c>
    </row>
    <row r="399" spans="1:14" x14ac:dyDescent="0.25">
      <c r="A399" s="5" t="s">
        <v>27</v>
      </c>
    </row>
    <row r="401" spans="1:4" x14ac:dyDescent="0.25">
      <c r="A401" s="9" t="s">
        <v>28</v>
      </c>
    </row>
    <row r="402" spans="1:4" x14ac:dyDescent="0.25">
      <c r="A402" s="9" t="s">
        <v>29</v>
      </c>
      <c r="B402" s="9"/>
      <c r="C402" s="9"/>
      <c r="D402" s="9"/>
    </row>
    <row r="403" spans="1:4" x14ac:dyDescent="0.25">
      <c r="A403" s="9" t="s">
        <v>30</v>
      </c>
      <c r="B403" s="9"/>
      <c r="C403" s="9"/>
      <c r="D403" s="9"/>
    </row>
    <row r="404" spans="1:4" x14ac:dyDescent="0.25">
      <c r="A404" s="9" t="s">
        <v>31</v>
      </c>
      <c r="B404" s="9"/>
      <c r="C404" s="9"/>
      <c r="D404" s="9"/>
    </row>
    <row r="405" spans="1:4" x14ac:dyDescent="0.25">
      <c r="A405" s="9" t="s">
        <v>32</v>
      </c>
      <c r="B405" s="9"/>
      <c r="C405" s="9"/>
      <c r="D405" s="9"/>
    </row>
    <row r="406" spans="1:4" x14ac:dyDescent="0.25">
      <c r="A406" s="9" t="s">
        <v>33</v>
      </c>
      <c r="B406" s="9"/>
      <c r="C406" s="9"/>
      <c r="D406" s="9"/>
    </row>
    <row r="407" spans="1:4" x14ac:dyDescent="0.25">
      <c r="A407" s="9" t="s">
        <v>34</v>
      </c>
      <c r="B407" s="9"/>
      <c r="C407" s="9"/>
      <c r="D407" s="9"/>
    </row>
    <row r="408" spans="1:4" x14ac:dyDescent="0.25">
      <c r="A408" s="9" t="s">
        <v>35</v>
      </c>
      <c r="B408" s="9"/>
      <c r="C408" s="9"/>
      <c r="D408" s="9"/>
    </row>
    <row r="409" spans="1:4" x14ac:dyDescent="0.25">
      <c r="A409" s="9" t="s">
        <v>36</v>
      </c>
      <c r="B409" s="9"/>
      <c r="C409" s="9"/>
      <c r="D409" s="9"/>
    </row>
    <row r="410" spans="1:4" x14ac:dyDescent="0.25">
      <c r="A410" s="9" t="s">
        <v>37</v>
      </c>
      <c r="B410" s="9"/>
      <c r="C410" s="9"/>
      <c r="D410" s="9"/>
    </row>
    <row r="411" spans="1:4" x14ac:dyDescent="0.25">
      <c r="A411" s="9" t="s">
        <v>38</v>
      </c>
      <c r="B411" s="9"/>
      <c r="C411" s="9"/>
      <c r="D411" s="9"/>
    </row>
    <row r="412" spans="1:4" x14ac:dyDescent="0.25">
      <c r="A412" s="9" t="s">
        <v>40</v>
      </c>
      <c r="B412" s="9"/>
      <c r="C412" s="9"/>
      <c r="D412" s="9"/>
    </row>
    <row r="413" spans="1:4" x14ac:dyDescent="0.25">
      <c r="A413" s="9" t="s">
        <v>39</v>
      </c>
      <c r="B413" s="9"/>
      <c r="C413" s="9"/>
      <c r="D413" s="9"/>
    </row>
    <row r="414" spans="1:4" x14ac:dyDescent="0.25">
      <c r="A414" s="9"/>
      <c r="B414" s="9"/>
      <c r="C414" s="9"/>
      <c r="D414" s="9"/>
    </row>
    <row r="415" spans="1:4" x14ac:dyDescent="0.25">
      <c r="A415" s="9"/>
      <c r="B415" s="9"/>
      <c r="C415" s="9"/>
      <c r="D415" s="9"/>
    </row>
    <row r="416" spans="1:4" x14ac:dyDescent="0.25">
      <c r="A416" s="9"/>
      <c r="B416" s="9"/>
      <c r="C416" s="9"/>
      <c r="D416" s="9"/>
    </row>
    <row r="417" spans="1:4" x14ac:dyDescent="0.25">
      <c r="A417" s="9"/>
      <c r="B417" s="9"/>
      <c r="C417" s="9"/>
      <c r="D417" s="9"/>
    </row>
    <row r="418" spans="1:4" x14ac:dyDescent="0.25">
      <c r="A418" s="9"/>
      <c r="B418" s="9"/>
      <c r="C418" s="9"/>
      <c r="D418" s="9"/>
    </row>
    <row r="419" spans="1:4" x14ac:dyDescent="0.25">
      <c r="A419" s="9"/>
      <c r="B419" s="9"/>
      <c r="C419" s="9"/>
      <c r="D419" s="9"/>
    </row>
    <row r="420" spans="1:4" x14ac:dyDescent="0.25">
      <c r="A420" s="9"/>
      <c r="B420" s="9"/>
      <c r="C420" s="9"/>
      <c r="D420" s="9"/>
    </row>
    <row r="426" spans="1:4" x14ac:dyDescent="0.25">
      <c r="A426" t="s">
        <v>9</v>
      </c>
    </row>
    <row r="428" spans="1:4" x14ac:dyDescent="0.25">
      <c r="A428" t="s">
        <v>10</v>
      </c>
      <c r="B428" t="s">
        <v>11</v>
      </c>
    </row>
    <row r="436" spans="1:4" ht="15.75" x14ac:dyDescent="0.25">
      <c r="B436" s="4" t="s">
        <v>4</v>
      </c>
      <c r="C436" s="4"/>
    </row>
    <row r="437" spans="1:4" ht="15.75" x14ac:dyDescent="0.25">
      <c r="B437" s="4" t="s">
        <v>5</v>
      </c>
      <c r="C437" s="4"/>
    </row>
    <row r="438" spans="1:4" x14ac:dyDescent="0.25">
      <c r="A438" s="5" t="s">
        <v>25</v>
      </c>
      <c r="B438" s="5"/>
      <c r="C438" s="5"/>
      <c r="D438" s="5"/>
    </row>
    <row r="439" spans="1:4" x14ac:dyDescent="0.25">
      <c r="A439" s="5"/>
      <c r="B439" s="5" t="s">
        <v>6</v>
      </c>
      <c r="C439" s="5"/>
      <c r="D439" s="5"/>
    </row>
    <row r="440" spans="1:4" x14ac:dyDescent="0.25">
      <c r="A440" s="8" t="s">
        <v>41</v>
      </c>
      <c r="B440" s="8" t="s">
        <v>21</v>
      </c>
      <c r="C440" s="6">
        <v>17</v>
      </c>
    </row>
    <row r="443" spans="1:4" ht="45" x14ac:dyDescent="0.25">
      <c r="A443" s="1" t="s">
        <v>0</v>
      </c>
      <c r="B443" s="2" t="s">
        <v>1</v>
      </c>
      <c r="C443" s="2" t="s">
        <v>2</v>
      </c>
      <c r="D443" s="2" t="s">
        <v>3</v>
      </c>
    </row>
    <row r="444" spans="1:4" x14ac:dyDescent="0.25">
      <c r="A444" s="3" t="s">
        <v>26</v>
      </c>
      <c r="B444" s="1">
        <f>K327</f>
        <v>47205.540000000023</v>
      </c>
      <c r="C444" s="1">
        <f>L327</f>
        <v>26668.629999999997</v>
      </c>
      <c r="D444" s="1">
        <f>M327</f>
        <v>47204.976000000002</v>
      </c>
    </row>
    <row r="445" spans="1:4" x14ac:dyDescent="0.25">
      <c r="A445" s="14" t="s">
        <v>8</v>
      </c>
      <c r="B445" s="15"/>
      <c r="C445" s="16"/>
      <c r="D445" s="1">
        <f>B444-D444</f>
        <v>0.56400000002031447</v>
      </c>
    </row>
    <row r="447" spans="1:4" x14ac:dyDescent="0.25">
      <c r="A447" s="5" t="s">
        <v>27</v>
      </c>
    </row>
    <row r="449" spans="1:4" x14ac:dyDescent="0.25">
      <c r="A449" s="9" t="s">
        <v>28</v>
      </c>
    </row>
    <row r="450" spans="1:4" x14ac:dyDescent="0.25">
      <c r="A450" s="9" t="s">
        <v>29</v>
      </c>
      <c r="B450" s="9"/>
      <c r="C450" s="9"/>
      <c r="D450" s="9"/>
    </row>
    <row r="451" spans="1:4" x14ac:dyDescent="0.25">
      <c r="A451" s="9" t="s">
        <v>30</v>
      </c>
      <c r="B451" s="9"/>
      <c r="C451" s="9"/>
      <c r="D451" s="9"/>
    </row>
    <row r="452" spans="1:4" x14ac:dyDescent="0.25">
      <c r="A452" s="9" t="s">
        <v>31</v>
      </c>
      <c r="B452" s="9"/>
      <c r="C452" s="9"/>
      <c r="D452" s="9"/>
    </row>
    <row r="453" spans="1:4" x14ac:dyDescent="0.25">
      <c r="A453" s="9" t="s">
        <v>32</v>
      </c>
      <c r="B453" s="9"/>
      <c r="C453" s="9"/>
      <c r="D453" s="9"/>
    </row>
    <row r="454" spans="1:4" x14ac:dyDescent="0.25">
      <c r="A454" s="9" t="s">
        <v>33</v>
      </c>
      <c r="B454" s="9"/>
      <c r="C454" s="9"/>
      <c r="D454" s="9"/>
    </row>
    <row r="455" spans="1:4" x14ac:dyDescent="0.25">
      <c r="A455" s="9" t="s">
        <v>34</v>
      </c>
      <c r="B455" s="9"/>
      <c r="C455" s="9"/>
      <c r="D455" s="9"/>
    </row>
    <row r="456" spans="1:4" x14ac:dyDescent="0.25">
      <c r="A456" s="9" t="s">
        <v>35</v>
      </c>
      <c r="B456" s="9"/>
      <c r="C456" s="9"/>
      <c r="D456" s="9"/>
    </row>
    <row r="457" spans="1:4" x14ac:dyDescent="0.25">
      <c r="A457" s="9" t="s">
        <v>36</v>
      </c>
      <c r="B457" s="9"/>
      <c r="C457" s="9"/>
      <c r="D457" s="9"/>
    </row>
    <row r="458" spans="1:4" x14ac:dyDescent="0.25">
      <c r="A458" s="9" t="s">
        <v>37</v>
      </c>
      <c r="B458" s="9"/>
      <c r="C458" s="9"/>
      <c r="D458" s="9"/>
    </row>
    <row r="459" spans="1:4" x14ac:dyDescent="0.25">
      <c r="A459" s="9" t="s">
        <v>38</v>
      </c>
      <c r="B459" s="9"/>
      <c r="C459" s="9"/>
      <c r="D459" s="9"/>
    </row>
    <row r="460" spans="1:4" x14ac:dyDescent="0.25">
      <c r="A460" s="9" t="s">
        <v>40</v>
      </c>
      <c r="B460" s="9"/>
      <c r="C460" s="9"/>
      <c r="D460" s="9"/>
    </row>
    <row r="461" spans="1:4" x14ac:dyDescent="0.25">
      <c r="A461" s="9" t="s">
        <v>39</v>
      </c>
      <c r="B461" s="9"/>
      <c r="C461" s="9"/>
      <c r="D461" s="9"/>
    </row>
    <row r="462" spans="1:4" x14ac:dyDescent="0.25">
      <c r="A462" s="9"/>
      <c r="B462" s="9"/>
      <c r="C462" s="9"/>
      <c r="D462" s="9"/>
    </row>
    <row r="463" spans="1:4" x14ac:dyDescent="0.25">
      <c r="A463" s="9"/>
      <c r="B463" s="9"/>
      <c r="C463" s="9"/>
      <c r="D463" s="9"/>
    </row>
    <row r="464" spans="1:4" x14ac:dyDescent="0.25">
      <c r="A464" s="9"/>
      <c r="B464" s="9"/>
      <c r="C464" s="9"/>
      <c r="D464" s="9"/>
    </row>
    <row r="465" spans="1:4" x14ac:dyDescent="0.25">
      <c r="A465" s="9"/>
      <c r="B465" s="9"/>
      <c r="C465" s="9"/>
      <c r="D465" s="9"/>
    </row>
    <row r="466" spans="1:4" x14ac:dyDescent="0.25">
      <c r="A466" s="9"/>
      <c r="B466" s="9"/>
      <c r="C466" s="9"/>
      <c r="D466" s="9"/>
    </row>
    <row r="467" spans="1:4" x14ac:dyDescent="0.25">
      <c r="A467" s="9"/>
      <c r="B467" s="9"/>
      <c r="C467" s="9"/>
      <c r="D467" s="9"/>
    </row>
    <row r="468" spans="1:4" x14ac:dyDescent="0.25">
      <c r="A468" s="9"/>
      <c r="B468" s="9"/>
      <c r="C468" s="9"/>
      <c r="D468" s="9"/>
    </row>
    <row r="474" spans="1:4" x14ac:dyDescent="0.25">
      <c r="A474" t="s">
        <v>9</v>
      </c>
    </row>
    <row r="476" spans="1:4" x14ac:dyDescent="0.25">
      <c r="A476" t="s">
        <v>10</v>
      </c>
      <c r="B476" t="s">
        <v>11</v>
      </c>
    </row>
    <row r="484" spans="1:4" ht="15.75" x14ac:dyDescent="0.25">
      <c r="B484" s="4" t="s">
        <v>4</v>
      </c>
      <c r="C484" s="4"/>
    </row>
    <row r="485" spans="1:4" ht="15.75" x14ac:dyDescent="0.25">
      <c r="B485" s="4" t="s">
        <v>5</v>
      </c>
      <c r="C485" s="4"/>
    </row>
    <row r="486" spans="1:4" x14ac:dyDescent="0.25">
      <c r="A486" s="5" t="s">
        <v>25</v>
      </c>
      <c r="B486" s="5"/>
      <c r="C486" s="5"/>
      <c r="D486" s="5"/>
    </row>
    <row r="487" spans="1:4" x14ac:dyDescent="0.25">
      <c r="A487" s="5"/>
      <c r="B487" s="5" t="s">
        <v>6</v>
      </c>
      <c r="C487" s="5"/>
      <c r="D487" s="5"/>
    </row>
    <row r="488" spans="1:4" x14ac:dyDescent="0.25">
      <c r="A488" s="8" t="s">
        <v>41</v>
      </c>
      <c r="B488" s="8" t="s">
        <v>21</v>
      </c>
      <c r="C488" s="6">
        <v>18</v>
      </c>
    </row>
    <row r="491" spans="1:4" ht="45" x14ac:dyDescent="0.25">
      <c r="A491" s="1" t="s">
        <v>0</v>
      </c>
      <c r="B491" s="2" t="s">
        <v>1</v>
      </c>
      <c r="C491" s="2" t="s">
        <v>2</v>
      </c>
      <c r="D491" s="2" t="s">
        <v>3</v>
      </c>
    </row>
    <row r="492" spans="1:4" x14ac:dyDescent="0.25">
      <c r="A492" s="3" t="s">
        <v>26</v>
      </c>
      <c r="B492" s="1">
        <f>K362</f>
        <v>59024.28</v>
      </c>
      <c r="C492" s="1">
        <f>L362</f>
        <v>40796.869999999981</v>
      </c>
      <c r="D492" s="1">
        <f>M362</f>
        <v>59024.036400000005</v>
      </c>
    </row>
    <row r="493" spans="1:4" x14ac:dyDescent="0.25">
      <c r="A493" s="14" t="s">
        <v>8</v>
      </c>
      <c r="B493" s="15"/>
      <c r="C493" s="16"/>
      <c r="D493" s="1">
        <f>B492-D492</f>
        <v>0.24359999999433057</v>
      </c>
    </row>
    <row r="495" spans="1:4" x14ac:dyDescent="0.25">
      <c r="A495" s="5" t="s">
        <v>27</v>
      </c>
    </row>
    <row r="497" spans="1:4" x14ac:dyDescent="0.25">
      <c r="A497" s="9" t="s">
        <v>28</v>
      </c>
    </row>
    <row r="498" spans="1:4" x14ac:dyDescent="0.25">
      <c r="A498" s="9" t="s">
        <v>29</v>
      </c>
      <c r="B498" s="9"/>
      <c r="C498" s="9"/>
      <c r="D498" s="9"/>
    </row>
    <row r="499" spans="1:4" x14ac:dyDescent="0.25">
      <c r="A499" s="9" t="s">
        <v>30</v>
      </c>
      <c r="B499" s="9"/>
      <c r="C499" s="9"/>
      <c r="D499" s="9"/>
    </row>
    <row r="500" spans="1:4" x14ac:dyDescent="0.25">
      <c r="A500" s="9" t="s">
        <v>31</v>
      </c>
      <c r="B500" s="9"/>
      <c r="C500" s="9"/>
      <c r="D500" s="9"/>
    </row>
    <row r="501" spans="1:4" x14ac:dyDescent="0.25">
      <c r="A501" s="9" t="s">
        <v>32</v>
      </c>
      <c r="B501" s="9"/>
      <c r="C501" s="9"/>
      <c r="D501" s="9"/>
    </row>
    <row r="502" spans="1:4" x14ac:dyDescent="0.25">
      <c r="A502" s="9" t="s">
        <v>33</v>
      </c>
      <c r="B502" s="9"/>
      <c r="C502" s="9"/>
      <c r="D502" s="9"/>
    </row>
    <row r="503" spans="1:4" x14ac:dyDescent="0.25">
      <c r="A503" s="9" t="s">
        <v>34</v>
      </c>
      <c r="B503" s="9"/>
      <c r="C503" s="9"/>
      <c r="D503" s="9"/>
    </row>
    <row r="504" spans="1:4" x14ac:dyDescent="0.25">
      <c r="A504" s="9" t="s">
        <v>35</v>
      </c>
      <c r="B504" s="9"/>
      <c r="C504" s="9"/>
      <c r="D504" s="9"/>
    </row>
    <row r="505" spans="1:4" x14ac:dyDescent="0.25">
      <c r="A505" s="9" t="s">
        <v>36</v>
      </c>
      <c r="B505" s="9"/>
      <c r="C505" s="9"/>
      <c r="D505" s="9"/>
    </row>
    <row r="506" spans="1:4" x14ac:dyDescent="0.25">
      <c r="A506" s="9" t="s">
        <v>37</v>
      </c>
      <c r="B506" s="9"/>
      <c r="C506" s="9"/>
      <c r="D506" s="9"/>
    </row>
    <row r="507" spans="1:4" x14ac:dyDescent="0.25">
      <c r="A507" s="9" t="s">
        <v>38</v>
      </c>
      <c r="B507" s="9"/>
      <c r="C507" s="9"/>
      <c r="D507" s="9"/>
    </row>
    <row r="508" spans="1:4" x14ac:dyDescent="0.25">
      <c r="A508" s="9" t="s">
        <v>40</v>
      </c>
      <c r="B508" s="9"/>
      <c r="C508" s="9"/>
      <c r="D508" s="9"/>
    </row>
    <row r="509" spans="1:4" x14ac:dyDescent="0.25">
      <c r="A509" s="9" t="s">
        <v>39</v>
      </c>
      <c r="B509" s="9"/>
      <c r="C509" s="9"/>
      <c r="D509" s="9"/>
    </row>
    <row r="510" spans="1:4" x14ac:dyDescent="0.25">
      <c r="A510" s="9"/>
      <c r="B510" s="9"/>
      <c r="C510" s="9"/>
      <c r="D510" s="9"/>
    </row>
    <row r="511" spans="1:4" x14ac:dyDescent="0.25">
      <c r="A511" s="9"/>
      <c r="B511" s="9"/>
      <c r="C511" s="9"/>
      <c r="D511" s="9"/>
    </row>
    <row r="512" spans="1:4" x14ac:dyDescent="0.25">
      <c r="A512" s="9"/>
      <c r="B512" s="9"/>
      <c r="C512" s="9"/>
      <c r="D512" s="9"/>
    </row>
    <row r="513" spans="1:4" x14ac:dyDescent="0.25">
      <c r="A513" s="9"/>
      <c r="B513" s="9"/>
      <c r="C513" s="9"/>
      <c r="D513" s="9"/>
    </row>
    <row r="514" spans="1:4" x14ac:dyDescent="0.25">
      <c r="A514" s="9"/>
      <c r="B514" s="9"/>
      <c r="C514" s="9"/>
      <c r="D514" s="9"/>
    </row>
    <row r="515" spans="1:4" x14ac:dyDescent="0.25">
      <c r="A515" s="9"/>
      <c r="B515" s="9"/>
      <c r="C515" s="9"/>
      <c r="D515" s="9"/>
    </row>
    <row r="516" spans="1:4" x14ac:dyDescent="0.25">
      <c r="A516" s="9"/>
      <c r="B516" s="9"/>
      <c r="C516" s="9"/>
      <c r="D516" s="9"/>
    </row>
    <row r="522" spans="1:4" x14ac:dyDescent="0.25">
      <c r="A522" t="s">
        <v>9</v>
      </c>
    </row>
    <row r="524" spans="1:4" x14ac:dyDescent="0.25">
      <c r="A524" t="s">
        <v>10</v>
      </c>
      <c r="B524" t="s">
        <v>11</v>
      </c>
    </row>
    <row r="532" spans="1:4" ht="15.75" x14ac:dyDescent="0.25">
      <c r="B532" s="4" t="s">
        <v>4</v>
      </c>
      <c r="C532" s="4"/>
    </row>
    <row r="533" spans="1:4" ht="15.75" x14ac:dyDescent="0.25">
      <c r="B533" s="4" t="s">
        <v>5</v>
      </c>
      <c r="C533" s="4"/>
    </row>
    <row r="534" spans="1:4" x14ac:dyDescent="0.25">
      <c r="A534" s="5" t="s">
        <v>25</v>
      </c>
      <c r="B534" s="5"/>
      <c r="C534" s="5"/>
      <c r="D534" s="5"/>
    </row>
    <row r="535" spans="1:4" x14ac:dyDescent="0.25">
      <c r="A535" s="5"/>
      <c r="B535" s="5" t="s">
        <v>6</v>
      </c>
      <c r="C535" s="5"/>
      <c r="D535" s="5"/>
    </row>
    <row r="536" spans="1:4" x14ac:dyDescent="0.25">
      <c r="A536" s="8" t="s">
        <v>41</v>
      </c>
      <c r="B536" s="8" t="s">
        <v>21</v>
      </c>
      <c r="C536" s="6">
        <v>19</v>
      </c>
    </row>
    <row r="539" spans="1:4" ht="45" x14ac:dyDescent="0.25">
      <c r="A539" s="1" t="s">
        <v>0</v>
      </c>
      <c r="B539" s="2" t="s">
        <v>1</v>
      </c>
      <c r="C539" s="2" t="s">
        <v>2</v>
      </c>
      <c r="D539" s="2" t="s">
        <v>3</v>
      </c>
    </row>
    <row r="540" spans="1:4" x14ac:dyDescent="0.25">
      <c r="A540" s="3" t="s">
        <v>26</v>
      </c>
      <c r="B540" s="1">
        <f>K397</f>
        <v>23687.64</v>
      </c>
      <c r="C540" s="1">
        <f>L397</f>
        <v>18865.839999999997</v>
      </c>
      <c r="D540" s="1">
        <f>M397</f>
        <v>23687.328000000001</v>
      </c>
    </row>
    <row r="541" spans="1:4" x14ac:dyDescent="0.25">
      <c r="A541" s="14" t="s">
        <v>8</v>
      </c>
      <c r="B541" s="15"/>
      <c r="C541" s="16"/>
      <c r="D541" s="1">
        <f>B540-D540</f>
        <v>0.31199999999807915</v>
      </c>
    </row>
    <row r="543" spans="1:4" x14ac:dyDescent="0.25">
      <c r="A543" s="5" t="s">
        <v>27</v>
      </c>
    </row>
    <row r="545" spans="1:4" x14ac:dyDescent="0.25">
      <c r="A545" s="9" t="s">
        <v>28</v>
      </c>
    </row>
    <row r="546" spans="1:4" x14ac:dyDescent="0.25">
      <c r="A546" s="9" t="s">
        <v>29</v>
      </c>
      <c r="B546" s="9"/>
      <c r="C546" s="9"/>
      <c r="D546" s="9"/>
    </row>
    <row r="547" spans="1:4" x14ac:dyDescent="0.25">
      <c r="A547" s="9" t="s">
        <v>30</v>
      </c>
      <c r="B547" s="9"/>
      <c r="C547" s="9"/>
      <c r="D547" s="9"/>
    </row>
    <row r="548" spans="1:4" x14ac:dyDescent="0.25">
      <c r="A548" s="9" t="s">
        <v>31</v>
      </c>
      <c r="B548" s="9"/>
      <c r="C548" s="9"/>
      <c r="D548" s="9"/>
    </row>
    <row r="549" spans="1:4" x14ac:dyDescent="0.25">
      <c r="A549" s="9" t="s">
        <v>32</v>
      </c>
      <c r="B549" s="9"/>
      <c r="C549" s="9"/>
      <c r="D549" s="9"/>
    </row>
    <row r="550" spans="1:4" x14ac:dyDescent="0.25">
      <c r="A550" s="9" t="s">
        <v>33</v>
      </c>
      <c r="B550" s="9"/>
      <c r="C550" s="9"/>
      <c r="D550" s="9"/>
    </row>
    <row r="551" spans="1:4" x14ac:dyDescent="0.25">
      <c r="A551" s="9" t="s">
        <v>34</v>
      </c>
      <c r="B551" s="9"/>
      <c r="C551" s="9"/>
      <c r="D551" s="9"/>
    </row>
    <row r="552" spans="1:4" x14ac:dyDescent="0.25">
      <c r="A552" s="9" t="s">
        <v>35</v>
      </c>
      <c r="B552" s="9"/>
      <c r="C552" s="9"/>
      <c r="D552" s="9"/>
    </row>
    <row r="553" spans="1:4" x14ac:dyDescent="0.25">
      <c r="A553" s="9" t="s">
        <v>36</v>
      </c>
      <c r="B553" s="9"/>
      <c r="C553" s="9"/>
      <c r="D553" s="9"/>
    </row>
    <row r="554" spans="1:4" x14ac:dyDescent="0.25">
      <c r="A554" s="9" t="s">
        <v>37</v>
      </c>
      <c r="B554" s="9"/>
      <c r="C554" s="9"/>
      <c r="D554" s="9"/>
    </row>
    <row r="555" spans="1:4" x14ac:dyDescent="0.25">
      <c r="A555" s="9" t="s">
        <v>38</v>
      </c>
      <c r="B555" s="9"/>
      <c r="C555" s="9"/>
      <c r="D555" s="9"/>
    </row>
    <row r="556" spans="1:4" x14ac:dyDescent="0.25">
      <c r="A556" s="9" t="s">
        <v>40</v>
      </c>
      <c r="B556" s="9"/>
      <c r="C556" s="9"/>
      <c r="D556" s="9"/>
    </row>
    <row r="557" spans="1:4" x14ac:dyDescent="0.25">
      <c r="A557" s="9" t="s">
        <v>39</v>
      </c>
      <c r="B557" s="9"/>
      <c r="C557" s="9"/>
      <c r="D557" s="9"/>
    </row>
    <row r="558" spans="1:4" x14ac:dyDescent="0.25">
      <c r="A558" s="9"/>
      <c r="B558" s="9"/>
      <c r="C558" s="9"/>
      <c r="D558" s="9"/>
    </row>
    <row r="559" spans="1:4" x14ac:dyDescent="0.25">
      <c r="A559" s="9"/>
      <c r="B559" s="9"/>
      <c r="C559" s="9"/>
      <c r="D559" s="9"/>
    </row>
    <row r="560" spans="1:4" x14ac:dyDescent="0.25">
      <c r="A560" s="9"/>
      <c r="B560" s="9"/>
      <c r="C560" s="9"/>
      <c r="D560" s="9"/>
    </row>
    <row r="561" spans="1:4" x14ac:dyDescent="0.25">
      <c r="A561" s="9"/>
      <c r="B561" s="9"/>
      <c r="C561" s="9"/>
      <c r="D561" s="9"/>
    </row>
    <row r="562" spans="1:4" x14ac:dyDescent="0.25">
      <c r="A562" s="9"/>
      <c r="B562" s="9"/>
      <c r="C562" s="9"/>
      <c r="D562" s="9"/>
    </row>
    <row r="563" spans="1:4" x14ac:dyDescent="0.25">
      <c r="A563" s="9"/>
      <c r="B563" s="9"/>
      <c r="C563" s="9"/>
      <c r="D563" s="9"/>
    </row>
    <row r="564" spans="1:4" x14ac:dyDescent="0.25">
      <c r="A564" s="9"/>
      <c r="B564" s="9"/>
      <c r="C564" s="9"/>
      <c r="D564" s="9"/>
    </row>
    <row r="570" spans="1:4" x14ac:dyDescent="0.25">
      <c r="A570" t="s">
        <v>9</v>
      </c>
    </row>
    <row r="572" spans="1:4" x14ac:dyDescent="0.25">
      <c r="A572" t="s">
        <v>10</v>
      </c>
      <c r="B572" t="s">
        <v>11</v>
      </c>
    </row>
  </sheetData>
  <mergeCells count="12">
    <mergeCell ref="A445:C445"/>
    <mergeCell ref="A493:C493"/>
    <mergeCell ref="A541:C541"/>
    <mergeCell ref="A13:C13"/>
    <mergeCell ref="A61:C61"/>
    <mergeCell ref="A109:C109"/>
    <mergeCell ref="A157:C157"/>
    <mergeCell ref="A205:C205"/>
    <mergeCell ref="A253:C253"/>
    <mergeCell ref="A301:C301"/>
    <mergeCell ref="A349:C349"/>
    <mergeCell ref="A397:C39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87"/>
  <sheetViews>
    <sheetView topLeftCell="A226" workbookViewId="0">
      <selection activeCell="E397" sqref="E397"/>
    </sheetView>
  </sheetViews>
  <sheetFormatPr defaultRowHeight="15" x14ac:dyDescent="0.25"/>
  <cols>
    <col min="1" max="1" width="25.140625" customWidth="1"/>
    <col min="2" max="2" width="13.42578125" customWidth="1"/>
    <col min="3" max="3" width="11.42578125" customWidth="1"/>
    <col min="4" max="4" width="15.28515625" customWidth="1"/>
    <col min="6" max="6" width="8.5703125" customWidth="1"/>
    <col min="7" max="9" width="8.85546875" hidden="1" customWidth="1"/>
  </cols>
  <sheetData>
    <row r="4" spans="1:14" ht="15.75" x14ac:dyDescent="0.25">
      <c r="B4" s="4" t="s">
        <v>4</v>
      </c>
      <c r="C4" s="4"/>
    </row>
    <row r="5" spans="1:14" ht="15.75" x14ac:dyDescent="0.25">
      <c r="B5" s="4" t="s">
        <v>5</v>
      </c>
      <c r="C5" s="4"/>
    </row>
    <row r="6" spans="1:14" x14ac:dyDescent="0.25">
      <c r="A6" s="5" t="s">
        <v>25</v>
      </c>
      <c r="B6" s="5"/>
      <c r="C6" s="5"/>
      <c r="D6" s="5"/>
    </row>
    <row r="7" spans="1:14" x14ac:dyDescent="0.25">
      <c r="A7" s="5"/>
      <c r="B7" s="5" t="s">
        <v>6</v>
      </c>
      <c r="C7" s="5"/>
      <c r="D7" s="5"/>
    </row>
    <row r="8" spans="1:14" x14ac:dyDescent="0.25">
      <c r="A8" s="8" t="s">
        <v>41</v>
      </c>
      <c r="B8" s="8" t="s">
        <v>42</v>
      </c>
      <c r="C8" s="6"/>
    </row>
    <row r="9" spans="1:14" x14ac:dyDescent="0.25">
      <c r="M9">
        <v>156.19999999999999</v>
      </c>
      <c r="N9">
        <v>12.45</v>
      </c>
    </row>
    <row r="10" spans="1:14" x14ac:dyDescent="0.25">
      <c r="K10">
        <f>26874.1-1741.1-3536.8-5917.5-2694.12-107.2-1209.06</f>
        <v>11668.320000000002</v>
      </c>
      <c r="L10">
        <f>15103.55-1048.02-984.06-3605.4-1381.6-60.12-753.4</f>
        <v>7270.95</v>
      </c>
      <c r="M10">
        <f>M9*N9*6</f>
        <v>11668.14</v>
      </c>
    </row>
    <row r="11" spans="1:14" ht="30" x14ac:dyDescent="0.25">
      <c r="A11" s="1" t="s">
        <v>0</v>
      </c>
      <c r="B11" s="2" t="s">
        <v>1</v>
      </c>
      <c r="C11" s="2" t="s">
        <v>2</v>
      </c>
      <c r="D11" s="2" t="s">
        <v>3</v>
      </c>
    </row>
    <row r="12" spans="1:14" x14ac:dyDescent="0.25">
      <c r="A12" s="3" t="s">
        <v>26</v>
      </c>
      <c r="B12" s="1">
        <f>K10</f>
        <v>11668.320000000002</v>
      </c>
      <c r="C12" s="1">
        <f>L10</f>
        <v>7270.95</v>
      </c>
      <c r="D12" s="1">
        <f>M10</f>
        <v>11668.14</v>
      </c>
    </row>
    <row r="13" spans="1:14" x14ac:dyDescent="0.25">
      <c r="A13" s="14" t="s">
        <v>8</v>
      </c>
      <c r="B13" s="15"/>
      <c r="C13" s="16"/>
      <c r="D13" s="1">
        <f>B12-D12</f>
        <v>0.18000000000211003</v>
      </c>
    </row>
    <row r="15" spans="1:14" x14ac:dyDescent="0.25">
      <c r="A15" s="5" t="s">
        <v>27</v>
      </c>
    </row>
    <row r="17" spans="1:4" x14ac:dyDescent="0.25">
      <c r="A17" s="9" t="s">
        <v>28</v>
      </c>
    </row>
    <row r="18" spans="1:4" x14ac:dyDescent="0.25">
      <c r="A18" s="9" t="s">
        <v>29</v>
      </c>
      <c r="B18" s="9"/>
      <c r="C18" s="9"/>
      <c r="D18" s="9"/>
    </row>
    <row r="19" spans="1:4" x14ac:dyDescent="0.25">
      <c r="A19" s="9" t="s">
        <v>30</v>
      </c>
      <c r="B19" s="9"/>
      <c r="C19" s="9"/>
      <c r="D19" s="9"/>
    </row>
    <row r="20" spans="1:4" x14ac:dyDescent="0.25">
      <c r="A20" s="9" t="s">
        <v>31</v>
      </c>
      <c r="B20" s="9"/>
      <c r="C20" s="9"/>
      <c r="D20" s="9"/>
    </row>
    <row r="21" spans="1:4" x14ac:dyDescent="0.25">
      <c r="A21" s="9" t="s">
        <v>32</v>
      </c>
      <c r="B21" s="9"/>
      <c r="C21" s="9"/>
      <c r="D21" s="9"/>
    </row>
    <row r="22" spans="1:4" x14ac:dyDescent="0.25">
      <c r="A22" s="9" t="s">
        <v>33</v>
      </c>
      <c r="B22" s="9"/>
      <c r="C22" s="9"/>
      <c r="D22" s="9"/>
    </row>
    <row r="23" spans="1:4" x14ac:dyDescent="0.25">
      <c r="A23" s="9" t="s">
        <v>34</v>
      </c>
      <c r="B23" s="9"/>
      <c r="C23" s="9"/>
      <c r="D23" s="9"/>
    </row>
    <row r="24" spans="1:4" x14ac:dyDescent="0.25">
      <c r="A24" s="9" t="s">
        <v>35</v>
      </c>
      <c r="B24" s="9"/>
      <c r="C24" s="9"/>
      <c r="D24" s="9"/>
    </row>
    <row r="25" spans="1:4" x14ac:dyDescent="0.25">
      <c r="A25" s="9" t="s">
        <v>36</v>
      </c>
      <c r="B25" s="9"/>
      <c r="C25" s="9"/>
      <c r="D25" s="9"/>
    </row>
    <row r="26" spans="1:4" x14ac:dyDescent="0.25">
      <c r="A26" s="9" t="s">
        <v>37</v>
      </c>
      <c r="B26" s="9"/>
      <c r="C26" s="9"/>
      <c r="D26" s="9"/>
    </row>
    <row r="27" spans="1:4" x14ac:dyDescent="0.25">
      <c r="A27" s="9" t="s">
        <v>38</v>
      </c>
      <c r="B27" s="9"/>
      <c r="C27" s="9"/>
      <c r="D27" s="9"/>
    </row>
    <row r="28" spans="1:4" x14ac:dyDescent="0.25">
      <c r="A28" s="9" t="s">
        <v>40</v>
      </c>
      <c r="B28" s="9"/>
      <c r="C28" s="9"/>
      <c r="D28" s="9"/>
    </row>
    <row r="29" spans="1:4" x14ac:dyDescent="0.25">
      <c r="A29" s="9" t="s">
        <v>39</v>
      </c>
      <c r="B29" s="9"/>
      <c r="C29" s="9"/>
      <c r="D29" s="9"/>
    </row>
    <row r="30" spans="1:4" x14ac:dyDescent="0.25">
      <c r="A30" s="9"/>
      <c r="B30" s="9"/>
      <c r="C30" s="9"/>
      <c r="D30" s="9"/>
    </row>
    <row r="31" spans="1:4" x14ac:dyDescent="0.25">
      <c r="A31" s="9"/>
      <c r="B31" s="9"/>
      <c r="C31" s="9"/>
      <c r="D31" s="9"/>
    </row>
    <row r="32" spans="1:4" x14ac:dyDescent="0.25">
      <c r="A32" s="9"/>
      <c r="B32" s="9"/>
      <c r="C32" s="9"/>
      <c r="D32" s="9"/>
    </row>
    <row r="33" spans="1:14" x14ac:dyDescent="0.25">
      <c r="A33" s="9"/>
      <c r="B33" s="9"/>
      <c r="C33" s="9"/>
      <c r="D33" s="9"/>
    </row>
    <row r="34" spans="1:14" x14ac:dyDescent="0.25">
      <c r="A34" s="9"/>
      <c r="B34" s="9"/>
      <c r="C34" s="9"/>
      <c r="D34" s="9"/>
    </row>
    <row r="35" spans="1:14" x14ac:dyDescent="0.25">
      <c r="A35" s="9"/>
      <c r="B35" s="9"/>
      <c r="C35" s="9"/>
      <c r="D35" s="9"/>
    </row>
    <row r="36" spans="1:14" x14ac:dyDescent="0.25">
      <c r="A36" s="9"/>
      <c r="B36" s="9"/>
      <c r="C36" s="9"/>
      <c r="D36" s="9"/>
    </row>
    <row r="41" spans="1:14" x14ac:dyDescent="0.25">
      <c r="A41" t="s">
        <v>9</v>
      </c>
    </row>
    <row r="43" spans="1:14" x14ac:dyDescent="0.25">
      <c r="A43" t="s">
        <v>10</v>
      </c>
      <c r="B43" t="s">
        <v>11</v>
      </c>
    </row>
    <row r="44" spans="1:14" x14ac:dyDescent="0.25">
      <c r="M44">
        <v>198.2</v>
      </c>
      <c r="N44">
        <v>13.33</v>
      </c>
    </row>
    <row r="45" spans="1:14" x14ac:dyDescent="0.25">
      <c r="K45">
        <f>68597.95-1639.57-1261.49-3316.98-43869.6-2050.45-120.24-487.56</f>
        <v>15852.059999999983</v>
      </c>
      <c r="L45">
        <f>50458.31-207.54-1329.28-374.5-2667.68-32434.13-360.47</f>
        <v>13084.709999999997</v>
      </c>
      <c r="M45">
        <f>M44*N44*6</f>
        <v>15852.036</v>
      </c>
    </row>
    <row r="53" spans="1:4" ht="15.75" x14ac:dyDescent="0.25">
      <c r="B53" s="4" t="s">
        <v>4</v>
      </c>
      <c r="C53" s="4"/>
    </row>
    <row r="54" spans="1:4" ht="15.75" x14ac:dyDescent="0.25">
      <c r="B54" s="4" t="s">
        <v>5</v>
      </c>
      <c r="C54" s="4"/>
    </row>
    <row r="55" spans="1:4" x14ac:dyDescent="0.25">
      <c r="A55" s="5" t="s">
        <v>25</v>
      </c>
      <c r="B55" s="5"/>
      <c r="C55" s="5"/>
      <c r="D55" s="5"/>
    </row>
    <row r="56" spans="1:4" x14ac:dyDescent="0.25">
      <c r="A56" s="5"/>
      <c r="B56" s="5" t="s">
        <v>6</v>
      </c>
      <c r="C56" s="5"/>
      <c r="D56" s="5"/>
    </row>
    <row r="57" spans="1:4" x14ac:dyDescent="0.25">
      <c r="A57" s="8" t="s">
        <v>41</v>
      </c>
      <c r="B57" s="8" t="s">
        <v>43</v>
      </c>
      <c r="C57" s="6"/>
    </row>
    <row r="60" spans="1:4" ht="30" x14ac:dyDescent="0.25">
      <c r="A60" s="1" t="s">
        <v>0</v>
      </c>
      <c r="B60" s="2" t="s">
        <v>1</v>
      </c>
      <c r="C60" s="2" t="s">
        <v>2</v>
      </c>
      <c r="D60" s="2" t="s">
        <v>3</v>
      </c>
    </row>
    <row r="61" spans="1:4" x14ac:dyDescent="0.25">
      <c r="A61" s="3" t="s">
        <v>26</v>
      </c>
      <c r="B61" s="1">
        <f>K45</f>
        <v>15852.059999999983</v>
      </c>
      <c r="C61" s="1">
        <f>L45</f>
        <v>13084.709999999997</v>
      </c>
      <c r="D61" s="1">
        <f>M45</f>
        <v>15852.036</v>
      </c>
    </row>
    <row r="62" spans="1:4" x14ac:dyDescent="0.25">
      <c r="A62" s="14" t="s">
        <v>8</v>
      </c>
      <c r="B62" s="15"/>
      <c r="C62" s="16"/>
      <c r="D62" s="1">
        <f>B61-D61</f>
        <v>2.3999999983061571E-2</v>
      </c>
    </row>
    <row r="64" spans="1:4" x14ac:dyDescent="0.25">
      <c r="A64" s="5" t="s">
        <v>27</v>
      </c>
    </row>
    <row r="66" spans="1:14" x14ac:dyDescent="0.25">
      <c r="A66" s="9" t="s">
        <v>28</v>
      </c>
    </row>
    <row r="67" spans="1:14" x14ac:dyDescent="0.25">
      <c r="A67" s="9" t="s">
        <v>29</v>
      </c>
      <c r="B67" s="9"/>
      <c r="C67" s="9"/>
      <c r="D67" s="9"/>
    </row>
    <row r="68" spans="1:14" x14ac:dyDescent="0.25">
      <c r="A68" s="9" t="s">
        <v>30</v>
      </c>
      <c r="B68" s="9"/>
      <c r="C68" s="9"/>
      <c r="D68" s="9"/>
    </row>
    <row r="69" spans="1:14" x14ac:dyDescent="0.25">
      <c r="A69" s="9" t="s">
        <v>31</v>
      </c>
      <c r="B69" s="9"/>
      <c r="C69" s="9"/>
      <c r="D69" s="9"/>
    </row>
    <row r="70" spans="1:14" x14ac:dyDescent="0.25">
      <c r="A70" s="9" t="s">
        <v>32</v>
      </c>
      <c r="B70" s="9"/>
      <c r="C70" s="9"/>
      <c r="D70" s="9"/>
    </row>
    <row r="71" spans="1:14" x14ac:dyDescent="0.25">
      <c r="A71" s="9" t="s">
        <v>33</v>
      </c>
      <c r="B71" s="9"/>
      <c r="C71" s="9"/>
      <c r="D71" s="9"/>
    </row>
    <row r="72" spans="1:14" x14ac:dyDescent="0.25">
      <c r="A72" s="9" t="s">
        <v>34</v>
      </c>
      <c r="B72" s="9"/>
      <c r="C72" s="9"/>
      <c r="D72" s="9"/>
    </row>
    <row r="73" spans="1:14" x14ac:dyDescent="0.25">
      <c r="A73" s="9" t="s">
        <v>35</v>
      </c>
      <c r="B73" s="9"/>
      <c r="C73" s="9"/>
      <c r="D73" s="9"/>
    </row>
    <row r="74" spans="1:14" x14ac:dyDescent="0.25">
      <c r="A74" s="9" t="s">
        <v>36</v>
      </c>
      <c r="B74" s="9"/>
      <c r="C74" s="9"/>
      <c r="D74" s="9"/>
    </row>
    <row r="75" spans="1:14" x14ac:dyDescent="0.25">
      <c r="A75" s="9" t="s">
        <v>37</v>
      </c>
      <c r="B75" s="9"/>
      <c r="C75" s="9"/>
      <c r="D75" s="9"/>
    </row>
    <row r="76" spans="1:14" x14ac:dyDescent="0.25">
      <c r="A76" s="9" t="s">
        <v>38</v>
      </c>
      <c r="B76" s="9"/>
      <c r="C76" s="9"/>
      <c r="D76" s="9"/>
    </row>
    <row r="77" spans="1:14" x14ac:dyDescent="0.25">
      <c r="A77" s="9" t="s">
        <v>40</v>
      </c>
      <c r="B77" s="9"/>
      <c r="C77" s="9"/>
      <c r="D77" s="9"/>
    </row>
    <row r="78" spans="1:14" x14ac:dyDescent="0.25">
      <c r="A78" s="9" t="s">
        <v>39</v>
      </c>
      <c r="B78" s="9"/>
      <c r="C78" s="9"/>
      <c r="D78" s="9"/>
    </row>
    <row r="79" spans="1:14" x14ac:dyDescent="0.25">
      <c r="A79" s="9"/>
      <c r="B79" s="9"/>
      <c r="C79" s="9"/>
      <c r="D79" s="9"/>
    </row>
    <row r="80" spans="1:14" x14ac:dyDescent="0.25">
      <c r="A80" s="9"/>
      <c r="B80" s="9"/>
      <c r="C80" s="9"/>
      <c r="D80" s="9"/>
      <c r="M80">
        <v>120.7</v>
      </c>
      <c r="N80">
        <v>11.98</v>
      </c>
    </row>
    <row r="81" spans="1:13" x14ac:dyDescent="0.25">
      <c r="A81" s="9"/>
      <c r="B81" s="9"/>
      <c r="C81" s="9"/>
      <c r="D81" s="9"/>
      <c r="K81">
        <f>10126.02-99-2991.6-151.5-881.76</f>
        <v>6002.16</v>
      </c>
      <c r="L81">
        <f>3646.26-89.01-74.25-378.24-151.5-378.28</f>
        <v>2574.9800000000005</v>
      </c>
      <c r="M81">
        <f>M80*N80*6</f>
        <v>8675.9160000000011</v>
      </c>
    </row>
    <row r="82" spans="1:13" x14ac:dyDescent="0.25">
      <c r="A82" s="9"/>
      <c r="B82" s="9"/>
      <c r="C82" s="9"/>
      <c r="D82" s="9"/>
    </row>
    <row r="83" spans="1:13" x14ac:dyDescent="0.25">
      <c r="A83" s="9"/>
      <c r="B83" s="9"/>
      <c r="C83" s="9"/>
      <c r="D83" s="9"/>
    </row>
    <row r="84" spans="1:13" x14ac:dyDescent="0.25">
      <c r="A84" s="9"/>
      <c r="B84" s="9"/>
      <c r="C84" s="9"/>
      <c r="D84" s="9"/>
    </row>
    <row r="85" spans="1:13" x14ac:dyDescent="0.25">
      <c r="A85" s="9"/>
      <c r="B85" s="9"/>
      <c r="C85" s="9"/>
      <c r="D85" s="9"/>
    </row>
    <row r="86" spans="1:13" x14ac:dyDescent="0.25">
      <c r="A86" s="9"/>
      <c r="B86" s="9"/>
      <c r="C86" s="9"/>
      <c r="D86" s="9"/>
    </row>
    <row r="92" spans="1:13" x14ac:dyDescent="0.25">
      <c r="A92" t="s">
        <v>9</v>
      </c>
    </row>
    <row r="94" spans="1:13" x14ac:dyDescent="0.25">
      <c r="A94" t="s">
        <v>10</v>
      </c>
      <c r="B94" t="s">
        <v>11</v>
      </c>
    </row>
    <row r="102" spans="1:4" ht="15.75" x14ac:dyDescent="0.25">
      <c r="B102" s="4" t="s">
        <v>4</v>
      </c>
      <c r="C102" s="4"/>
    </row>
    <row r="103" spans="1:4" ht="15.75" x14ac:dyDescent="0.25">
      <c r="B103" s="4" t="s">
        <v>5</v>
      </c>
      <c r="C103" s="4"/>
    </row>
    <row r="104" spans="1:4" x14ac:dyDescent="0.25">
      <c r="A104" s="5" t="s">
        <v>25</v>
      </c>
      <c r="B104" s="5"/>
      <c r="C104" s="5"/>
      <c r="D104" s="5"/>
    </row>
    <row r="105" spans="1:4" x14ac:dyDescent="0.25">
      <c r="A105" s="5"/>
      <c r="B105" s="5" t="s">
        <v>6</v>
      </c>
      <c r="C105" s="5"/>
      <c r="D105" s="5"/>
    </row>
    <row r="106" spans="1:4" x14ac:dyDescent="0.25">
      <c r="A106" s="8" t="s">
        <v>41</v>
      </c>
      <c r="B106" s="8" t="s">
        <v>44</v>
      </c>
      <c r="C106" s="6"/>
    </row>
    <row r="109" spans="1:4" ht="30" x14ac:dyDescent="0.25">
      <c r="A109" s="1" t="s">
        <v>0</v>
      </c>
      <c r="B109" s="2" t="s">
        <v>1</v>
      </c>
      <c r="C109" s="2" t="s">
        <v>2</v>
      </c>
      <c r="D109" s="2" t="s">
        <v>3</v>
      </c>
    </row>
    <row r="110" spans="1:4" x14ac:dyDescent="0.25">
      <c r="A110" s="3" t="s">
        <v>26</v>
      </c>
      <c r="B110" s="1">
        <f>K81</f>
        <v>6002.16</v>
      </c>
      <c r="C110" s="1">
        <f>L81</f>
        <v>2574.9800000000005</v>
      </c>
      <c r="D110" s="1">
        <f>M81</f>
        <v>8675.9160000000011</v>
      </c>
    </row>
    <row r="111" spans="1:4" x14ac:dyDescent="0.25">
      <c r="A111" s="14" t="s">
        <v>8</v>
      </c>
      <c r="B111" s="15"/>
      <c r="C111" s="16"/>
      <c r="D111" s="1">
        <f>B110-D110</f>
        <v>-2673.7560000000012</v>
      </c>
    </row>
    <row r="113" spans="1:14" x14ac:dyDescent="0.25">
      <c r="A113" s="5" t="s">
        <v>27</v>
      </c>
    </row>
    <row r="115" spans="1:14" x14ac:dyDescent="0.25">
      <c r="A115" s="9" t="s">
        <v>28</v>
      </c>
    </row>
    <row r="116" spans="1:14" x14ac:dyDescent="0.25">
      <c r="A116" s="9" t="s">
        <v>29</v>
      </c>
      <c r="B116" s="9"/>
      <c r="C116" s="9"/>
      <c r="D116" s="9"/>
      <c r="M116">
        <v>2073.6</v>
      </c>
      <c r="N116">
        <v>13.79</v>
      </c>
    </row>
    <row r="117" spans="1:14" x14ac:dyDescent="0.25">
      <c r="A117" s="9" t="s">
        <v>30</v>
      </c>
      <c r="B117" s="9"/>
      <c r="C117" s="9"/>
      <c r="D117" s="9"/>
      <c r="K117">
        <f>945882.19-11448.81-4305.47-61718.35-458970.54-25038.34-331.5-51633.24-29855.92-42371.36-87867.12-769.38</f>
        <v>171572.15999999997</v>
      </c>
      <c r="L117">
        <f>737875.6-1728.1-8465.27-3002.33-46915.33-362930.82-18536.64-262.16-40828.99-22037.43-31368.59-608.36-65520.83</f>
        <v>135670.75000000012</v>
      </c>
      <c r="M117">
        <f>M116*N116*6</f>
        <v>171569.66399999999</v>
      </c>
    </row>
    <row r="118" spans="1:14" x14ac:dyDescent="0.25">
      <c r="A118" s="9" t="s">
        <v>31</v>
      </c>
      <c r="B118" s="9"/>
      <c r="C118" s="9"/>
      <c r="D118" s="9"/>
    </row>
    <row r="119" spans="1:14" x14ac:dyDescent="0.25">
      <c r="A119" s="9" t="s">
        <v>32</v>
      </c>
      <c r="B119" s="9"/>
      <c r="C119" s="9"/>
      <c r="D119" s="9"/>
    </row>
    <row r="120" spans="1:14" x14ac:dyDescent="0.25">
      <c r="A120" s="9" t="s">
        <v>33</v>
      </c>
      <c r="B120" s="9"/>
      <c r="C120" s="9"/>
      <c r="D120" s="9"/>
    </row>
    <row r="121" spans="1:14" x14ac:dyDescent="0.25">
      <c r="A121" s="9" t="s">
        <v>34</v>
      </c>
      <c r="B121" s="9"/>
      <c r="C121" s="9"/>
      <c r="D121" s="9"/>
    </row>
    <row r="122" spans="1:14" x14ac:dyDescent="0.25">
      <c r="A122" s="9" t="s">
        <v>35</v>
      </c>
      <c r="B122" s="9"/>
      <c r="C122" s="9"/>
      <c r="D122" s="9"/>
    </row>
    <row r="123" spans="1:14" x14ac:dyDescent="0.25">
      <c r="A123" s="9" t="s">
        <v>36</v>
      </c>
      <c r="B123" s="9"/>
      <c r="C123" s="9"/>
      <c r="D123" s="9"/>
    </row>
    <row r="124" spans="1:14" x14ac:dyDescent="0.25">
      <c r="A124" s="9" t="s">
        <v>37</v>
      </c>
      <c r="B124" s="9"/>
      <c r="C124" s="9"/>
      <c r="D124" s="9"/>
    </row>
    <row r="125" spans="1:14" x14ac:dyDescent="0.25">
      <c r="A125" s="9" t="s">
        <v>38</v>
      </c>
      <c r="B125" s="9"/>
      <c r="C125" s="9"/>
      <c r="D125" s="9"/>
    </row>
    <row r="126" spans="1:14" x14ac:dyDescent="0.25">
      <c r="A126" s="9" t="s">
        <v>40</v>
      </c>
      <c r="B126" s="9"/>
      <c r="C126" s="9"/>
      <c r="D126" s="9"/>
    </row>
    <row r="127" spans="1:14" x14ac:dyDescent="0.25">
      <c r="A127" s="9" t="s">
        <v>39</v>
      </c>
      <c r="B127" s="9"/>
      <c r="C127" s="9"/>
      <c r="D127" s="9"/>
    </row>
    <row r="128" spans="1:14" x14ac:dyDescent="0.25">
      <c r="A128" s="9"/>
      <c r="B128" s="9"/>
      <c r="C128" s="9"/>
      <c r="D128" s="9"/>
    </row>
    <row r="129" spans="1:4" x14ac:dyDescent="0.25">
      <c r="A129" s="9"/>
      <c r="B129" s="9"/>
      <c r="C129" s="9"/>
      <c r="D129" s="9"/>
    </row>
    <row r="130" spans="1:4" x14ac:dyDescent="0.25">
      <c r="A130" s="9"/>
      <c r="B130" s="9"/>
      <c r="C130" s="9"/>
      <c r="D130" s="9"/>
    </row>
    <row r="131" spans="1:4" x14ac:dyDescent="0.25">
      <c r="A131" s="9"/>
      <c r="B131" s="9"/>
      <c r="C131" s="9"/>
      <c r="D131" s="9"/>
    </row>
    <row r="132" spans="1:4" x14ac:dyDescent="0.25">
      <c r="A132" s="9"/>
      <c r="B132" s="9"/>
      <c r="C132" s="9"/>
      <c r="D132" s="9"/>
    </row>
    <row r="133" spans="1:4" x14ac:dyDescent="0.25">
      <c r="A133" s="9"/>
      <c r="B133" s="9"/>
      <c r="C133" s="9"/>
      <c r="D133" s="9"/>
    </row>
    <row r="134" spans="1:4" x14ac:dyDescent="0.25">
      <c r="A134" s="9"/>
      <c r="B134" s="9"/>
      <c r="C134" s="9"/>
      <c r="D134" s="9"/>
    </row>
    <row r="135" spans="1:4" x14ac:dyDescent="0.25">
      <c r="A135" s="9"/>
      <c r="B135" s="9"/>
      <c r="C135" s="9"/>
      <c r="D135" s="9"/>
    </row>
    <row r="141" spans="1:4" x14ac:dyDescent="0.25">
      <c r="A141" t="s">
        <v>9</v>
      </c>
    </row>
    <row r="143" spans="1:4" x14ac:dyDescent="0.25">
      <c r="A143" t="s">
        <v>10</v>
      </c>
      <c r="B143" t="s">
        <v>11</v>
      </c>
    </row>
    <row r="151" spans="1:4" ht="15.75" x14ac:dyDescent="0.25">
      <c r="B151" s="4" t="s">
        <v>4</v>
      </c>
      <c r="C151" s="4"/>
    </row>
    <row r="152" spans="1:4" ht="15.75" x14ac:dyDescent="0.25">
      <c r="B152" s="4" t="s">
        <v>5</v>
      </c>
      <c r="C152" s="4"/>
    </row>
    <row r="153" spans="1:4" x14ac:dyDescent="0.25">
      <c r="A153" s="5" t="s">
        <v>25</v>
      </c>
      <c r="B153" s="5"/>
      <c r="C153" s="5"/>
      <c r="D153" s="5"/>
    </row>
    <row r="154" spans="1:4" x14ac:dyDescent="0.25">
      <c r="A154" s="5"/>
      <c r="B154" s="5" t="s">
        <v>6</v>
      </c>
      <c r="C154" s="5"/>
      <c r="D154" s="5"/>
    </row>
    <row r="155" spans="1:4" x14ac:dyDescent="0.25">
      <c r="A155" s="8" t="s">
        <v>41</v>
      </c>
      <c r="B155" s="8" t="s">
        <v>45</v>
      </c>
      <c r="C155" s="6"/>
    </row>
    <row r="158" spans="1:4" ht="30" x14ac:dyDescent="0.25">
      <c r="A158" s="1" t="s">
        <v>0</v>
      </c>
      <c r="B158" s="2" t="s">
        <v>1</v>
      </c>
      <c r="C158" s="2" t="s">
        <v>2</v>
      </c>
      <c r="D158" s="2" t="s">
        <v>3</v>
      </c>
    </row>
    <row r="159" spans="1:4" x14ac:dyDescent="0.25">
      <c r="A159" s="3" t="s">
        <v>26</v>
      </c>
      <c r="B159" s="1">
        <f>K117</f>
        <v>171572.15999999997</v>
      </c>
      <c r="C159" s="1">
        <f>L117</f>
        <v>135670.75000000012</v>
      </c>
      <c r="D159" s="10">
        <f>M117</f>
        <v>171569.66399999999</v>
      </c>
    </row>
    <row r="160" spans="1:4" x14ac:dyDescent="0.25">
      <c r="A160" s="14" t="s">
        <v>8</v>
      </c>
      <c r="B160" s="15"/>
      <c r="C160" s="16"/>
      <c r="D160" s="10">
        <f>B159-D159</f>
        <v>2.4959999999846332</v>
      </c>
    </row>
    <row r="162" spans="1:4" x14ac:dyDescent="0.25">
      <c r="A162" s="5" t="s">
        <v>27</v>
      </c>
    </row>
    <row r="164" spans="1:4" x14ac:dyDescent="0.25">
      <c r="A164" s="9" t="s">
        <v>28</v>
      </c>
    </row>
    <row r="165" spans="1:4" x14ac:dyDescent="0.25">
      <c r="A165" s="9" t="s">
        <v>29</v>
      </c>
      <c r="B165" s="9"/>
      <c r="C165" s="9"/>
      <c r="D165" s="9"/>
    </row>
    <row r="166" spans="1:4" x14ac:dyDescent="0.25">
      <c r="A166" s="9" t="s">
        <v>30</v>
      </c>
      <c r="B166" s="9"/>
      <c r="C166" s="9"/>
      <c r="D166" s="9"/>
    </row>
    <row r="167" spans="1:4" x14ac:dyDescent="0.25">
      <c r="A167" s="9" t="s">
        <v>31</v>
      </c>
      <c r="B167" s="9"/>
      <c r="C167" s="9"/>
      <c r="D167" s="9"/>
    </row>
    <row r="168" spans="1:4" x14ac:dyDescent="0.25">
      <c r="A168" s="9" t="s">
        <v>32</v>
      </c>
      <c r="B168" s="9"/>
      <c r="C168" s="9"/>
      <c r="D168" s="9"/>
    </row>
    <row r="169" spans="1:4" x14ac:dyDescent="0.25">
      <c r="A169" s="9" t="s">
        <v>33</v>
      </c>
      <c r="B169" s="9"/>
      <c r="C169" s="9"/>
      <c r="D169" s="9"/>
    </row>
    <row r="170" spans="1:4" x14ac:dyDescent="0.25">
      <c r="A170" s="9" t="s">
        <v>34</v>
      </c>
      <c r="B170" s="9"/>
      <c r="C170" s="9"/>
      <c r="D170" s="9"/>
    </row>
    <row r="171" spans="1:4" x14ac:dyDescent="0.25">
      <c r="A171" s="9" t="s">
        <v>35</v>
      </c>
      <c r="B171" s="9"/>
      <c r="C171" s="9"/>
      <c r="D171" s="9"/>
    </row>
    <row r="172" spans="1:4" x14ac:dyDescent="0.25">
      <c r="A172" s="9" t="s">
        <v>36</v>
      </c>
      <c r="B172" s="9"/>
      <c r="C172" s="9"/>
      <c r="D172" s="9"/>
    </row>
    <row r="173" spans="1:4" x14ac:dyDescent="0.25">
      <c r="A173" s="9" t="s">
        <v>37</v>
      </c>
      <c r="B173" s="9"/>
      <c r="C173" s="9"/>
      <c r="D173" s="9"/>
    </row>
    <row r="174" spans="1:4" x14ac:dyDescent="0.25">
      <c r="A174" s="9" t="s">
        <v>38</v>
      </c>
      <c r="B174" s="9"/>
      <c r="C174" s="9"/>
      <c r="D174" s="9"/>
    </row>
    <row r="175" spans="1:4" x14ac:dyDescent="0.25">
      <c r="A175" s="9" t="s">
        <v>40</v>
      </c>
      <c r="B175" s="9"/>
      <c r="C175" s="9"/>
      <c r="D175" s="9"/>
    </row>
    <row r="176" spans="1:4" x14ac:dyDescent="0.25">
      <c r="A176" s="9" t="s">
        <v>39</v>
      </c>
      <c r="B176" s="9"/>
      <c r="C176" s="9"/>
      <c r="D176" s="9"/>
    </row>
    <row r="177" spans="1:4" x14ac:dyDescent="0.25">
      <c r="A177" s="9"/>
      <c r="B177" s="9"/>
      <c r="C177" s="9"/>
      <c r="D177" s="9"/>
    </row>
    <row r="178" spans="1:4" x14ac:dyDescent="0.25">
      <c r="A178" s="9"/>
      <c r="B178" s="9"/>
      <c r="C178" s="9"/>
      <c r="D178" s="9"/>
    </row>
    <row r="179" spans="1:4" x14ac:dyDescent="0.25">
      <c r="A179" s="9"/>
      <c r="B179" s="9"/>
      <c r="C179" s="9"/>
      <c r="D179" s="9"/>
    </row>
    <row r="180" spans="1:4" x14ac:dyDescent="0.25">
      <c r="A180" s="9"/>
      <c r="B180" s="9"/>
      <c r="C180" s="9"/>
      <c r="D180" s="9"/>
    </row>
    <row r="181" spans="1:4" x14ac:dyDescent="0.25">
      <c r="A181" s="9"/>
      <c r="B181" s="9"/>
      <c r="C181" s="9"/>
      <c r="D181" s="9"/>
    </row>
    <row r="182" spans="1:4" x14ac:dyDescent="0.25">
      <c r="A182" s="9"/>
      <c r="B182" s="9"/>
      <c r="C182" s="9"/>
      <c r="D182" s="9"/>
    </row>
    <row r="183" spans="1:4" x14ac:dyDescent="0.25">
      <c r="A183" s="9"/>
      <c r="B183" s="9"/>
      <c r="C183" s="9"/>
      <c r="D183" s="9"/>
    </row>
    <row r="184" spans="1:4" x14ac:dyDescent="0.25">
      <c r="A184" s="9"/>
      <c r="B184" s="9"/>
      <c r="C184" s="9"/>
      <c r="D184" s="9"/>
    </row>
    <row r="190" spans="1:4" x14ac:dyDescent="0.25">
      <c r="A190" t="s">
        <v>9</v>
      </c>
    </row>
    <row r="192" spans="1:4" x14ac:dyDescent="0.25">
      <c r="A192" t="s">
        <v>10</v>
      </c>
      <c r="B192" t="s">
        <v>11</v>
      </c>
    </row>
    <row r="199" spans="1:4" ht="15.75" x14ac:dyDescent="0.25">
      <c r="B199" s="4" t="s">
        <v>4</v>
      </c>
      <c r="C199" s="4"/>
    </row>
    <row r="200" spans="1:4" ht="15.75" x14ac:dyDescent="0.25">
      <c r="B200" s="4" t="s">
        <v>5</v>
      </c>
      <c r="C200" s="4"/>
    </row>
    <row r="201" spans="1:4" x14ac:dyDescent="0.25">
      <c r="A201" s="5" t="s">
        <v>25</v>
      </c>
      <c r="B201" s="5"/>
      <c r="C201" s="5"/>
      <c r="D201" s="5"/>
    </row>
    <row r="202" spans="1:4" x14ac:dyDescent="0.25">
      <c r="A202" s="5"/>
      <c r="B202" s="5" t="s">
        <v>6</v>
      </c>
      <c r="C202" s="5"/>
      <c r="D202" s="5"/>
    </row>
    <row r="203" spans="1:4" x14ac:dyDescent="0.25">
      <c r="A203" s="8" t="s">
        <v>41</v>
      </c>
      <c r="B203" s="8" t="s">
        <v>43</v>
      </c>
      <c r="C203" s="6"/>
    </row>
    <row r="206" spans="1:4" ht="30" x14ac:dyDescent="0.25">
      <c r="A206" s="1" t="s">
        <v>0</v>
      </c>
      <c r="B206" s="2" t="s">
        <v>1</v>
      </c>
      <c r="C206" s="2" t="s">
        <v>2</v>
      </c>
      <c r="D206" s="2" t="s">
        <v>3</v>
      </c>
    </row>
    <row r="207" spans="1:4" x14ac:dyDescent="0.25">
      <c r="A207" s="3" t="s">
        <v>26</v>
      </c>
      <c r="B207" s="1">
        <f>K205</f>
        <v>0</v>
      </c>
      <c r="C207" s="1">
        <f>L205</f>
        <v>0</v>
      </c>
      <c r="D207" s="1">
        <f>M205</f>
        <v>0</v>
      </c>
    </row>
    <row r="208" spans="1:4" x14ac:dyDescent="0.25">
      <c r="A208" s="14" t="s">
        <v>8</v>
      </c>
      <c r="B208" s="15"/>
      <c r="C208" s="16"/>
      <c r="D208" s="1">
        <f>B207-D207</f>
        <v>0</v>
      </c>
    </row>
    <row r="210" spans="1:4" x14ac:dyDescent="0.25">
      <c r="A210" s="5" t="s">
        <v>27</v>
      </c>
    </row>
    <row r="212" spans="1:4" x14ac:dyDescent="0.25">
      <c r="A212" s="9" t="s">
        <v>28</v>
      </c>
    </row>
    <row r="213" spans="1:4" x14ac:dyDescent="0.25">
      <c r="A213" s="9" t="s">
        <v>29</v>
      </c>
      <c r="B213" s="9"/>
      <c r="C213" s="9"/>
      <c r="D213" s="9"/>
    </row>
    <row r="214" spans="1:4" x14ac:dyDescent="0.25">
      <c r="A214" s="9" t="s">
        <v>30</v>
      </c>
      <c r="B214" s="9"/>
      <c r="C214" s="9"/>
      <c r="D214" s="9"/>
    </row>
    <row r="215" spans="1:4" x14ac:dyDescent="0.25">
      <c r="A215" s="9" t="s">
        <v>31</v>
      </c>
      <c r="B215" s="9"/>
      <c r="C215" s="9"/>
      <c r="D215" s="9"/>
    </row>
    <row r="216" spans="1:4" x14ac:dyDescent="0.25">
      <c r="A216" s="9" t="s">
        <v>32</v>
      </c>
      <c r="B216" s="9"/>
      <c r="C216" s="9"/>
      <c r="D216" s="9"/>
    </row>
    <row r="217" spans="1:4" x14ac:dyDescent="0.25">
      <c r="A217" s="9" t="s">
        <v>33</v>
      </c>
      <c r="B217" s="9"/>
      <c r="C217" s="9"/>
      <c r="D217" s="9"/>
    </row>
    <row r="218" spans="1:4" x14ac:dyDescent="0.25">
      <c r="A218" s="9" t="s">
        <v>34</v>
      </c>
      <c r="B218" s="9"/>
      <c r="C218" s="9"/>
      <c r="D218" s="9"/>
    </row>
    <row r="219" spans="1:4" x14ac:dyDescent="0.25">
      <c r="A219" s="9" t="s">
        <v>35</v>
      </c>
      <c r="B219" s="9"/>
      <c r="C219" s="9"/>
      <c r="D219" s="9"/>
    </row>
    <row r="220" spans="1:4" x14ac:dyDescent="0.25">
      <c r="A220" s="9" t="s">
        <v>36</v>
      </c>
      <c r="B220" s="9"/>
      <c r="C220" s="9"/>
      <c r="D220" s="9"/>
    </row>
    <row r="221" spans="1:4" x14ac:dyDescent="0.25">
      <c r="A221" s="9" t="s">
        <v>37</v>
      </c>
      <c r="B221" s="9"/>
      <c r="C221" s="9"/>
      <c r="D221" s="9"/>
    </row>
    <row r="222" spans="1:4" x14ac:dyDescent="0.25">
      <c r="A222" s="9" t="s">
        <v>38</v>
      </c>
      <c r="B222" s="9"/>
      <c r="C222" s="9"/>
      <c r="D222" s="9"/>
    </row>
    <row r="223" spans="1:4" x14ac:dyDescent="0.25">
      <c r="A223" s="9" t="s">
        <v>40</v>
      </c>
      <c r="B223" s="9"/>
      <c r="C223" s="9"/>
      <c r="D223" s="9"/>
    </row>
    <row r="224" spans="1:4" x14ac:dyDescent="0.25">
      <c r="A224" s="9" t="s">
        <v>39</v>
      </c>
      <c r="B224" s="9"/>
      <c r="C224" s="9"/>
      <c r="D224" s="9"/>
    </row>
    <row r="225" spans="1:4" x14ac:dyDescent="0.25">
      <c r="A225" s="9"/>
      <c r="B225" s="9"/>
      <c r="C225" s="9"/>
      <c r="D225" s="9"/>
    </row>
    <row r="226" spans="1:4" x14ac:dyDescent="0.25">
      <c r="A226" s="9"/>
      <c r="B226" s="9"/>
      <c r="C226" s="9"/>
      <c r="D226" s="9"/>
    </row>
    <row r="227" spans="1:4" x14ac:dyDescent="0.25">
      <c r="A227" s="9"/>
      <c r="B227" s="9"/>
      <c r="C227" s="9"/>
      <c r="D227" s="9"/>
    </row>
    <row r="228" spans="1:4" x14ac:dyDescent="0.25">
      <c r="A228" s="9"/>
      <c r="B228" s="9"/>
      <c r="C228" s="9"/>
      <c r="D228" s="9"/>
    </row>
    <row r="229" spans="1:4" x14ac:dyDescent="0.25">
      <c r="A229" s="9"/>
      <c r="B229" s="9"/>
      <c r="C229" s="9"/>
      <c r="D229" s="9"/>
    </row>
    <row r="230" spans="1:4" x14ac:dyDescent="0.25">
      <c r="A230" s="9"/>
      <c r="B230" s="9"/>
      <c r="C230" s="9"/>
      <c r="D230" s="9"/>
    </row>
    <row r="231" spans="1:4" x14ac:dyDescent="0.25">
      <c r="A231" s="9"/>
      <c r="B231" s="9"/>
      <c r="C231" s="9"/>
      <c r="D231" s="9"/>
    </row>
    <row r="236" spans="1:4" x14ac:dyDescent="0.25">
      <c r="A236" t="s">
        <v>9</v>
      </c>
    </row>
    <row r="238" spans="1:4" x14ac:dyDescent="0.25">
      <c r="A238" t="s">
        <v>10</v>
      </c>
      <c r="B238" t="s">
        <v>64</v>
      </c>
    </row>
    <row r="248" spans="1:4" ht="15.75" x14ac:dyDescent="0.25">
      <c r="B248" s="4" t="s">
        <v>4</v>
      </c>
      <c r="C248" s="4"/>
    </row>
    <row r="249" spans="1:4" ht="15.75" x14ac:dyDescent="0.25">
      <c r="B249" s="4" t="s">
        <v>5</v>
      </c>
      <c r="C249" s="4"/>
    </row>
    <row r="250" spans="1:4" x14ac:dyDescent="0.25">
      <c r="A250" s="5" t="s">
        <v>25</v>
      </c>
      <c r="B250" s="5"/>
      <c r="C250" s="5"/>
      <c r="D250" s="5"/>
    </row>
    <row r="251" spans="1:4" x14ac:dyDescent="0.25">
      <c r="A251" s="5"/>
      <c r="B251" s="5" t="s">
        <v>6</v>
      </c>
      <c r="C251" s="5"/>
      <c r="D251" s="5"/>
    </row>
    <row r="252" spans="1:4" x14ac:dyDescent="0.25">
      <c r="A252" s="8" t="s">
        <v>41</v>
      </c>
      <c r="B252" s="8" t="s">
        <v>65</v>
      </c>
      <c r="C252" s="6"/>
    </row>
    <row r="255" spans="1:4" ht="30" x14ac:dyDescent="0.25">
      <c r="A255" s="1" t="s">
        <v>0</v>
      </c>
      <c r="B255" s="2" t="s">
        <v>1</v>
      </c>
      <c r="C255" s="2" t="s">
        <v>2</v>
      </c>
      <c r="D255" s="2" t="s">
        <v>3</v>
      </c>
    </row>
    <row r="256" spans="1:4" x14ac:dyDescent="0.25">
      <c r="A256" s="3" t="s">
        <v>26</v>
      </c>
      <c r="B256" s="1">
        <f>K240</f>
        <v>0</v>
      </c>
      <c r="C256" s="1">
        <f>L240</f>
        <v>0</v>
      </c>
      <c r="D256" s="1">
        <f>M240</f>
        <v>0</v>
      </c>
    </row>
    <row r="257" spans="1:4" x14ac:dyDescent="0.25">
      <c r="A257" s="14" t="s">
        <v>8</v>
      </c>
      <c r="B257" s="15"/>
      <c r="C257" s="16"/>
      <c r="D257" s="1">
        <f>B256-D256</f>
        <v>0</v>
      </c>
    </row>
    <row r="259" spans="1:4" x14ac:dyDescent="0.25">
      <c r="A259" s="5" t="s">
        <v>27</v>
      </c>
    </row>
    <row r="261" spans="1:4" x14ac:dyDescent="0.25">
      <c r="A261" s="9" t="s">
        <v>28</v>
      </c>
    </row>
    <row r="262" spans="1:4" x14ac:dyDescent="0.25">
      <c r="A262" s="9" t="s">
        <v>29</v>
      </c>
      <c r="B262" s="9"/>
      <c r="C262" s="9"/>
      <c r="D262" s="9"/>
    </row>
    <row r="263" spans="1:4" x14ac:dyDescent="0.25">
      <c r="A263" s="9" t="s">
        <v>30</v>
      </c>
      <c r="B263" s="9"/>
      <c r="C263" s="9"/>
      <c r="D263" s="9"/>
    </row>
    <row r="264" spans="1:4" x14ac:dyDescent="0.25">
      <c r="A264" s="9" t="s">
        <v>31</v>
      </c>
      <c r="B264" s="9"/>
      <c r="C264" s="9"/>
      <c r="D264" s="9"/>
    </row>
    <row r="265" spans="1:4" x14ac:dyDescent="0.25">
      <c r="A265" s="9" t="s">
        <v>32</v>
      </c>
      <c r="B265" s="9"/>
      <c r="C265" s="9"/>
      <c r="D265" s="9"/>
    </row>
    <row r="266" spans="1:4" x14ac:dyDescent="0.25">
      <c r="A266" s="9" t="s">
        <v>33</v>
      </c>
      <c r="B266" s="9"/>
      <c r="C266" s="9"/>
      <c r="D266" s="9"/>
    </row>
    <row r="267" spans="1:4" x14ac:dyDescent="0.25">
      <c r="A267" s="9" t="s">
        <v>34</v>
      </c>
      <c r="B267" s="9"/>
      <c r="C267" s="9"/>
      <c r="D267" s="9"/>
    </row>
    <row r="268" spans="1:4" x14ac:dyDescent="0.25">
      <c r="A268" s="9" t="s">
        <v>35</v>
      </c>
      <c r="B268" s="9"/>
      <c r="C268" s="9"/>
      <c r="D268" s="9"/>
    </row>
    <row r="269" spans="1:4" x14ac:dyDescent="0.25">
      <c r="A269" s="9" t="s">
        <v>36</v>
      </c>
      <c r="B269" s="9"/>
      <c r="C269" s="9"/>
      <c r="D269" s="9"/>
    </row>
    <row r="270" spans="1:4" x14ac:dyDescent="0.25">
      <c r="A270" s="9" t="s">
        <v>37</v>
      </c>
      <c r="B270" s="9"/>
      <c r="C270" s="9"/>
      <c r="D270" s="9"/>
    </row>
    <row r="271" spans="1:4" x14ac:dyDescent="0.25">
      <c r="A271" s="9" t="s">
        <v>38</v>
      </c>
      <c r="B271" s="9"/>
      <c r="C271" s="9"/>
      <c r="D271" s="9"/>
    </row>
    <row r="272" spans="1:4" x14ac:dyDescent="0.25">
      <c r="A272" s="9" t="s">
        <v>40</v>
      </c>
      <c r="B272" s="9"/>
      <c r="C272" s="9"/>
      <c r="D272" s="9"/>
    </row>
    <row r="273" spans="1:4" x14ac:dyDescent="0.25">
      <c r="A273" s="9" t="s">
        <v>39</v>
      </c>
      <c r="B273" s="9"/>
      <c r="C273" s="9"/>
      <c r="D273" s="9"/>
    </row>
    <row r="274" spans="1:4" x14ac:dyDescent="0.25">
      <c r="A274" s="9"/>
      <c r="B274" s="9"/>
      <c r="C274" s="9"/>
      <c r="D274" s="9"/>
    </row>
    <row r="275" spans="1:4" x14ac:dyDescent="0.25">
      <c r="A275" s="9"/>
      <c r="B275" s="9"/>
      <c r="C275" s="9"/>
      <c r="D275" s="9"/>
    </row>
    <row r="276" spans="1:4" x14ac:dyDescent="0.25">
      <c r="A276" s="9"/>
      <c r="B276" s="9"/>
      <c r="C276" s="9"/>
      <c r="D276" s="9"/>
    </row>
    <row r="277" spans="1:4" x14ac:dyDescent="0.25">
      <c r="A277" s="9"/>
      <c r="B277" s="9"/>
      <c r="C277" s="9"/>
      <c r="D277" s="9"/>
    </row>
    <row r="278" spans="1:4" x14ac:dyDescent="0.25">
      <c r="A278" s="9"/>
      <c r="B278" s="9"/>
      <c r="C278" s="9"/>
      <c r="D278" s="9"/>
    </row>
    <row r="279" spans="1:4" x14ac:dyDescent="0.25">
      <c r="A279" s="9"/>
      <c r="B279" s="9"/>
      <c r="C279" s="9"/>
      <c r="D279" s="9"/>
    </row>
    <row r="280" spans="1:4" x14ac:dyDescent="0.25">
      <c r="A280" s="9"/>
      <c r="B280" s="9"/>
      <c r="C280" s="9"/>
      <c r="D280" s="9"/>
    </row>
    <row r="281" spans="1:4" x14ac:dyDescent="0.25">
      <c r="A281" s="9"/>
      <c r="B281" s="9"/>
      <c r="C281" s="9"/>
      <c r="D281" s="9"/>
    </row>
    <row r="287" spans="1:4" x14ac:dyDescent="0.25">
      <c r="A287" t="s">
        <v>9</v>
      </c>
    </row>
    <row r="289" spans="1:4" x14ac:dyDescent="0.25">
      <c r="A289" t="s">
        <v>10</v>
      </c>
      <c r="B289" t="s">
        <v>64</v>
      </c>
    </row>
    <row r="297" spans="1:4" ht="15.75" x14ac:dyDescent="0.25">
      <c r="B297" s="4" t="s">
        <v>4</v>
      </c>
      <c r="C297" s="4"/>
    </row>
    <row r="298" spans="1:4" ht="15.75" x14ac:dyDescent="0.25">
      <c r="B298" s="4" t="s">
        <v>5</v>
      </c>
      <c r="C298" s="4"/>
    </row>
    <row r="299" spans="1:4" x14ac:dyDescent="0.25">
      <c r="A299" s="5" t="s">
        <v>25</v>
      </c>
      <c r="B299" s="5"/>
      <c r="C299" s="5"/>
      <c r="D299" s="5"/>
    </row>
    <row r="300" spans="1:4" x14ac:dyDescent="0.25">
      <c r="A300" s="5"/>
      <c r="B300" s="5" t="s">
        <v>6</v>
      </c>
      <c r="C300" s="5"/>
      <c r="D300" s="5"/>
    </row>
    <row r="301" spans="1:4" x14ac:dyDescent="0.25">
      <c r="A301" s="8" t="s">
        <v>41</v>
      </c>
      <c r="B301" s="8" t="s">
        <v>66</v>
      </c>
      <c r="C301" s="6"/>
    </row>
    <row r="304" spans="1:4" ht="30" x14ac:dyDescent="0.25">
      <c r="A304" s="1" t="s">
        <v>0</v>
      </c>
      <c r="B304" s="2" t="s">
        <v>1</v>
      </c>
      <c r="C304" s="2" t="s">
        <v>2</v>
      </c>
      <c r="D304" s="2" t="s">
        <v>3</v>
      </c>
    </row>
    <row r="305" spans="1:4" x14ac:dyDescent="0.25">
      <c r="A305" s="3" t="s">
        <v>26</v>
      </c>
      <c r="B305" s="1">
        <f>K276</f>
        <v>0</v>
      </c>
      <c r="C305" s="1">
        <f>L276</f>
        <v>0</v>
      </c>
      <c r="D305" s="1">
        <f>M276</f>
        <v>0</v>
      </c>
    </row>
    <row r="306" spans="1:4" x14ac:dyDescent="0.25">
      <c r="A306" s="14" t="s">
        <v>8</v>
      </c>
      <c r="B306" s="15"/>
      <c r="C306" s="16"/>
      <c r="D306" s="1">
        <f>B305-D305</f>
        <v>0</v>
      </c>
    </row>
    <row r="308" spans="1:4" x14ac:dyDescent="0.25">
      <c r="A308" s="5" t="s">
        <v>27</v>
      </c>
    </row>
    <row r="310" spans="1:4" x14ac:dyDescent="0.25">
      <c r="A310" s="9" t="s">
        <v>28</v>
      </c>
    </row>
    <row r="311" spans="1:4" x14ac:dyDescent="0.25">
      <c r="A311" s="9" t="s">
        <v>29</v>
      </c>
      <c r="B311" s="9"/>
      <c r="C311" s="9"/>
      <c r="D311" s="9"/>
    </row>
    <row r="312" spans="1:4" x14ac:dyDescent="0.25">
      <c r="A312" s="9" t="s">
        <v>30</v>
      </c>
      <c r="B312" s="9"/>
      <c r="C312" s="9"/>
      <c r="D312" s="9"/>
    </row>
    <row r="313" spans="1:4" x14ac:dyDescent="0.25">
      <c r="A313" s="9" t="s">
        <v>31</v>
      </c>
      <c r="B313" s="9"/>
      <c r="C313" s="9"/>
      <c r="D313" s="9"/>
    </row>
    <row r="314" spans="1:4" x14ac:dyDescent="0.25">
      <c r="A314" s="9" t="s">
        <v>32</v>
      </c>
      <c r="B314" s="9"/>
      <c r="C314" s="9"/>
      <c r="D314" s="9"/>
    </row>
    <row r="315" spans="1:4" x14ac:dyDescent="0.25">
      <c r="A315" s="9" t="s">
        <v>33</v>
      </c>
      <c r="B315" s="9"/>
      <c r="C315" s="9"/>
      <c r="D315" s="9"/>
    </row>
    <row r="316" spans="1:4" x14ac:dyDescent="0.25">
      <c r="A316" s="9" t="s">
        <v>34</v>
      </c>
      <c r="B316" s="9"/>
      <c r="C316" s="9"/>
      <c r="D316" s="9"/>
    </row>
    <row r="317" spans="1:4" x14ac:dyDescent="0.25">
      <c r="A317" s="9" t="s">
        <v>35</v>
      </c>
      <c r="B317" s="9"/>
      <c r="C317" s="9"/>
      <c r="D317" s="9"/>
    </row>
    <row r="318" spans="1:4" x14ac:dyDescent="0.25">
      <c r="A318" s="9" t="s">
        <v>36</v>
      </c>
      <c r="B318" s="9"/>
      <c r="C318" s="9"/>
      <c r="D318" s="9"/>
    </row>
    <row r="319" spans="1:4" x14ac:dyDescent="0.25">
      <c r="A319" s="9" t="s">
        <v>37</v>
      </c>
      <c r="B319" s="9"/>
      <c r="C319" s="9"/>
      <c r="D319" s="9"/>
    </row>
    <row r="320" spans="1:4" x14ac:dyDescent="0.25">
      <c r="A320" s="9" t="s">
        <v>38</v>
      </c>
      <c r="B320" s="9"/>
      <c r="C320" s="9"/>
      <c r="D320" s="9"/>
    </row>
    <row r="321" spans="1:4" x14ac:dyDescent="0.25">
      <c r="A321" s="9" t="s">
        <v>40</v>
      </c>
      <c r="B321" s="9"/>
      <c r="C321" s="9"/>
      <c r="D321" s="9"/>
    </row>
    <row r="322" spans="1:4" x14ac:dyDescent="0.25">
      <c r="A322" s="9" t="s">
        <v>39</v>
      </c>
      <c r="B322" s="9"/>
      <c r="C322" s="9"/>
      <c r="D322" s="9"/>
    </row>
    <row r="323" spans="1:4" x14ac:dyDescent="0.25">
      <c r="A323" s="9"/>
      <c r="B323" s="9"/>
      <c r="C323" s="9"/>
      <c r="D323" s="9"/>
    </row>
    <row r="324" spans="1:4" x14ac:dyDescent="0.25">
      <c r="A324" s="9"/>
      <c r="B324" s="9"/>
      <c r="C324" s="9"/>
      <c r="D324" s="9"/>
    </row>
    <row r="325" spans="1:4" x14ac:dyDescent="0.25">
      <c r="A325" s="9"/>
      <c r="B325" s="9"/>
      <c r="C325" s="9"/>
      <c r="D325" s="9"/>
    </row>
    <row r="326" spans="1:4" x14ac:dyDescent="0.25">
      <c r="A326" s="9"/>
      <c r="B326" s="9"/>
      <c r="C326" s="9"/>
      <c r="D326" s="9"/>
    </row>
    <row r="327" spans="1:4" x14ac:dyDescent="0.25">
      <c r="A327" s="9"/>
      <c r="B327" s="9"/>
      <c r="C327" s="9"/>
      <c r="D327" s="9"/>
    </row>
    <row r="328" spans="1:4" x14ac:dyDescent="0.25">
      <c r="A328" s="9"/>
      <c r="B328" s="9"/>
      <c r="C328" s="9"/>
      <c r="D328" s="9"/>
    </row>
    <row r="329" spans="1:4" x14ac:dyDescent="0.25">
      <c r="A329" s="9"/>
      <c r="B329" s="9"/>
      <c r="C329" s="9"/>
      <c r="D329" s="9"/>
    </row>
    <row r="330" spans="1:4" x14ac:dyDescent="0.25">
      <c r="A330" s="9"/>
      <c r="B330" s="9"/>
      <c r="C330" s="9"/>
      <c r="D330" s="9"/>
    </row>
    <row r="336" spans="1:4" x14ac:dyDescent="0.25">
      <c r="A336" t="s">
        <v>9</v>
      </c>
    </row>
    <row r="338" spans="1:4" x14ac:dyDescent="0.25">
      <c r="A338" t="s">
        <v>10</v>
      </c>
      <c r="B338" t="s">
        <v>64</v>
      </c>
    </row>
    <row r="346" spans="1:4" ht="15.75" x14ac:dyDescent="0.25">
      <c r="B346" s="4" t="s">
        <v>4</v>
      </c>
      <c r="C346" s="4"/>
    </row>
    <row r="347" spans="1:4" ht="15.75" x14ac:dyDescent="0.25">
      <c r="B347" s="4" t="s">
        <v>5</v>
      </c>
      <c r="C347" s="4"/>
    </row>
    <row r="348" spans="1:4" x14ac:dyDescent="0.25">
      <c r="A348" s="5" t="s">
        <v>25</v>
      </c>
      <c r="B348" s="5"/>
      <c r="C348" s="5"/>
      <c r="D348" s="5"/>
    </row>
    <row r="349" spans="1:4" x14ac:dyDescent="0.25">
      <c r="A349" s="5"/>
      <c r="B349" s="5" t="s">
        <v>6</v>
      </c>
      <c r="C349" s="5"/>
      <c r="D349" s="5"/>
    </row>
    <row r="350" spans="1:4" x14ac:dyDescent="0.25">
      <c r="A350" s="8" t="s">
        <v>41</v>
      </c>
      <c r="B350" s="8" t="s">
        <v>67</v>
      </c>
      <c r="C350" s="6"/>
    </row>
    <row r="353" spans="1:4" ht="30" x14ac:dyDescent="0.25">
      <c r="A353" s="1" t="s">
        <v>0</v>
      </c>
      <c r="B353" s="2" t="s">
        <v>1</v>
      </c>
      <c r="C353" s="2" t="s">
        <v>2</v>
      </c>
      <c r="D353" s="2" t="s">
        <v>3</v>
      </c>
    </row>
    <row r="354" spans="1:4" x14ac:dyDescent="0.25">
      <c r="A354" s="3" t="s">
        <v>26</v>
      </c>
      <c r="B354" s="1">
        <f>K312</f>
        <v>0</v>
      </c>
      <c r="C354" s="1">
        <f>L312</f>
        <v>0</v>
      </c>
      <c r="D354" s="10">
        <f>M312</f>
        <v>0</v>
      </c>
    </row>
    <row r="355" spans="1:4" x14ac:dyDescent="0.25">
      <c r="A355" s="14" t="s">
        <v>8</v>
      </c>
      <c r="B355" s="15"/>
      <c r="C355" s="16"/>
      <c r="D355" s="10">
        <f>B354-D354</f>
        <v>0</v>
      </c>
    </row>
    <row r="357" spans="1:4" x14ac:dyDescent="0.25">
      <c r="A357" s="5" t="s">
        <v>27</v>
      </c>
    </row>
    <row r="359" spans="1:4" x14ac:dyDescent="0.25">
      <c r="A359" s="9" t="s">
        <v>28</v>
      </c>
    </row>
    <row r="360" spans="1:4" x14ac:dyDescent="0.25">
      <c r="A360" s="9" t="s">
        <v>29</v>
      </c>
      <c r="B360" s="9"/>
      <c r="C360" s="9"/>
      <c r="D360" s="9"/>
    </row>
    <row r="361" spans="1:4" x14ac:dyDescent="0.25">
      <c r="A361" s="9" t="s">
        <v>30</v>
      </c>
      <c r="B361" s="9"/>
      <c r="C361" s="9"/>
      <c r="D361" s="9"/>
    </row>
    <row r="362" spans="1:4" x14ac:dyDescent="0.25">
      <c r="A362" s="9" t="s">
        <v>31</v>
      </c>
      <c r="B362" s="9"/>
      <c r="C362" s="9"/>
      <c r="D362" s="9"/>
    </row>
    <row r="363" spans="1:4" x14ac:dyDescent="0.25">
      <c r="A363" s="9" t="s">
        <v>32</v>
      </c>
      <c r="B363" s="9"/>
      <c r="C363" s="9"/>
      <c r="D363" s="9"/>
    </row>
    <row r="364" spans="1:4" x14ac:dyDescent="0.25">
      <c r="A364" s="9" t="s">
        <v>33</v>
      </c>
      <c r="B364" s="9"/>
      <c r="C364" s="9"/>
      <c r="D364" s="9"/>
    </row>
    <row r="365" spans="1:4" x14ac:dyDescent="0.25">
      <c r="A365" s="9" t="s">
        <v>34</v>
      </c>
      <c r="B365" s="9"/>
      <c r="C365" s="9"/>
      <c r="D365" s="9"/>
    </row>
    <row r="366" spans="1:4" x14ac:dyDescent="0.25">
      <c r="A366" s="9" t="s">
        <v>35</v>
      </c>
      <c r="B366" s="9"/>
      <c r="C366" s="9"/>
      <c r="D366" s="9"/>
    </row>
    <row r="367" spans="1:4" x14ac:dyDescent="0.25">
      <c r="A367" s="9" t="s">
        <v>36</v>
      </c>
      <c r="B367" s="9"/>
      <c r="C367" s="9"/>
      <c r="D367" s="9"/>
    </row>
    <row r="368" spans="1:4" x14ac:dyDescent="0.25">
      <c r="A368" s="9" t="s">
        <v>37</v>
      </c>
      <c r="B368" s="9"/>
      <c r="C368" s="9"/>
      <c r="D368" s="9"/>
    </row>
    <row r="369" spans="1:4" x14ac:dyDescent="0.25">
      <c r="A369" s="9" t="s">
        <v>38</v>
      </c>
      <c r="B369" s="9"/>
      <c r="C369" s="9"/>
      <c r="D369" s="9"/>
    </row>
    <row r="370" spans="1:4" x14ac:dyDescent="0.25">
      <c r="A370" s="9" t="s">
        <v>40</v>
      </c>
      <c r="B370" s="9"/>
      <c r="C370" s="9"/>
      <c r="D370" s="9"/>
    </row>
    <row r="371" spans="1:4" x14ac:dyDescent="0.25">
      <c r="A371" s="9" t="s">
        <v>39</v>
      </c>
      <c r="B371" s="9"/>
      <c r="C371" s="9"/>
      <c r="D371" s="9"/>
    </row>
    <row r="372" spans="1:4" x14ac:dyDescent="0.25">
      <c r="A372" s="9"/>
      <c r="B372" s="9"/>
      <c r="C372" s="9"/>
      <c r="D372" s="9"/>
    </row>
    <row r="373" spans="1:4" x14ac:dyDescent="0.25">
      <c r="A373" s="9"/>
      <c r="B373" s="9"/>
      <c r="C373" s="9"/>
      <c r="D373" s="9"/>
    </row>
    <row r="374" spans="1:4" x14ac:dyDescent="0.25">
      <c r="A374" s="9"/>
      <c r="B374" s="9"/>
      <c r="C374" s="9"/>
      <c r="D374" s="9"/>
    </row>
    <row r="375" spans="1:4" x14ac:dyDescent="0.25">
      <c r="A375" s="9"/>
      <c r="B375" s="9"/>
      <c r="C375" s="9"/>
      <c r="D375" s="9"/>
    </row>
    <row r="376" spans="1:4" x14ac:dyDescent="0.25">
      <c r="A376" s="9"/>
      <c r="B376" s="9"/>
      <c r="C376" s="9"/>
      <c r="D376" s="9"/>
    </row>
    <row r="377" spans="1:4" x14ac:dyDescent="0.25">
      <c r="A377" s="9"/>
      <c r="B377" s="9"/>
      <c r="C377" s="9"/>
      <c r="D377" s="9"/>
    </row>
    <row r="378" spans="1:4" x14ac:dyDescent="0.25">
      <c r="A378" s="9"/>
      <c r="B378" s="9"/>
      <c r="C378" s="9"/>
      <c r="D378" s="9"/>
    </row>
    <row r="379" spans="1:4" x14ac:dyDescent="0.25">
      <c r="A379" s="9"/>
      <c r="B379" s="9"/>
      <c r="C379" s="9"/>
      <c r="D379" s="9"/>
    </row>
    <row r="385" spans="1:2" x14ac:dyDescent="0.25">
      <c r="A385" t="s">
        <v>9</v>
      </c>
    </row>
    <row r="387" spans="1:2" x14ac:dyDescent="0.25">
      <c r="A387" t="s">
        <v>10</v>
      </c>
      <c r="B387" t="s">
        <v>64</v>
      </c>
    </row>
  </sheetData>
  <mergeCells count="8">
    <mergeCell ref="A257:C257"/>
    <mergeCell ref="A306:C306"/>
    <mergeCell ref="A355:C355"/>
    <mergeCell ref="A160:C160"/>
    <mergeCell ref="A13:C13"/>
    <mergeCell ref="A62:C62"/>
    <mergeCell ref="A111:C111"/>
    <mergeCell ref="A208:C20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41"/>
  <sheetViews>
    <sheetView topLeftCell="A217" workbookViewId="0">
      <selection sqref="A1:F245"/>
    </sheetView>
  </sheetViews>
  <sheetFormatPr defaultRowHeight="15" x14ac:dyDescent="0.25"/>
  <cols>
    <col min="1" max="1" width="25.85546875" customWidth="1"/>
    <col min="2" max="2" width="16.5703125" customWidth="1"/>
    <col min="3" max="3" width="13" customWidth="1"/>
    <col min="4" max="4" width="11.42578125" customWidth="1"/>
    <col min="8" max="8" width="1.42578125" customWidth="1"/>
    <col min="9" max="10" width="8.85546875" hidden="1" customWidth="1"/>
  </cols>
  <sheetData>
    <row r="4" spans="1:14" ht="15.75" x14ac:dyDescent="0.25">
      <c r="B4" s="4" t="s">
        <v>4</v>
      </c>
      <c r="C4" s="4"/>
    </row>
    <row r="5" spans="1:14" ht="15.75" x14ac:dyDescent="0.25">
      <c r="B5" s="4" t="s">
        <v>5</v>
      </c>
      <c r="C5" s="4"/>
    </row>
    <row r="6" spans="1:14" x14ac:dyDescent="0.25">
      <c r="A6" s="5" t="s">
        <v>25</v>
      </c>
      <c r="B6" s="5"/>
      <c r="C6" s="5"/>
      <c r="D6" s="5"/>
    </row>
    <row r="7" spans="1:14" x14ac:dyDescent="0.25">
      <c r="A7" s="5"/>
      <c r="B7" s="5" t="s">
        <v>6</v>
      </c>
      <c r="C7" s="5"/>
      <c r="D7" s="5"/>
    </row>
    <row r="8" spans="1:14" x14ac:dyDescent="0.25">
      <c r="A8" s="8" t="s">
        <v>24</v>
      </c>
      <c r="B8" s="8" t="s">
        <v>46</v>
      </c>
      <c r="C8" s="6"/>
    </row>
    <row r="10" spans="1:14" x14ac:dyDescent="0.25">
      <c r="M10">
        <v>169.4</v>
      </c>
      <c r="N10">
        <v>12.15</v>
      </c>
    </row>
    <row r="11" spans="1:14" ht="30" x14ac:dyDescent="0.25">
      <c r="A11" s="1" t="s">
        <v>0</v>
      </c>
      <c r="B11" s="2" t="s">
        <v>1</v>
      </c>
      <c r="C11" s="2" t="s">
        <v>2</v>
      </c>
      <c r="D11" s="2" t="s">
        <v>3</v>
      </c>
      <c r="K11">
        <f>13965.54-1616.1</f>
        <v>12349.44</v>
      </c>
      <c r="L11">
        <f>9652.42-1116.97</f>
        <v>8535.4500000000007</v>
      </c>
      <c r="M11">
        <f>M10*N10*6</f>
        <v>12349.26</v>
      </c>
    </row>
    <row r="12" spans="1:14" x14ac:dyDescent="0.25">
      <c r="A12" s="3" t="s">
        <v>26</v>
      </c>
      <c r="B12" s="1">
        <f>K11</f>
        <v>12349.44</v>
      </c>
      <c r="C12" s="1">
        <f>L11</f>
        <v>8535.4500000000007</v>
      </c>
      <c r="D12" s="10">
        <f>M11</f>
        <v>12349.26</v>
      </c>
    </row>
    <row r="13" spans="1:14" x14ac:dyDescent="0.25">
      <c r="A13" s="14" t="s">
        <v>8</v>
      </c>
      <c r="B13" s="15"/>
      <c r="C13" s="16"/>
      <c r="D13" s="10">
        <f>B12-D12</f>
        <v>0.18000000000029104</v>
      </c>
    </row>
    <row r="15" spans="1:14" x14ac:dyDescent="0.25">
      <c r="A15" s="5" t="s">
        <v>27</v>
      </c>
    </row>
    <row r="17" spans="1:4" x14ac:dyDescent="0.25">
      <c r="A17" s="9" t="s">
        <v>28</v>
      </c>
    </row>
    <row r="18" spans="1:4" x14ac:dyDescent="0.25">
      <c r="A18" s="9" t="s">
        <v>29</v>
      </c>
      <c r="B18" s="9"/>
      <c r="C18" s="9"/>
      <c r="D18" s="9"/>
    </row>
    <row r="19" spans="1:4" x14ac:dyDescent="0.25">
      <c r="A19" s="9" t="s">
        <v>30</v>
      </c>
      <c r="B19" s="9"/>
      <c r="C19" s="9"/>
      <c r="D19" s="9"/>
    </row>
    <row r="20" spans="1:4" x14ac:dyDescent="0.25">
      <c r="A20" s="9" t="s">
        <v>31</v>
      </c>
      <c r="B20" s="9"/>
      <c r="C20" s="9"/>
      <c r="D20" s="9"/>
    </row>
    <row r="21" spans="1:4" x14ac:dyDescent="0.25">
      <c r="A21" s="9" t="s">
        <v>32</v>
      </c>
      <c r="B21" s="9"/>
      <c r="C21" s="9"/>
      <c r="D21" s="9"/>
    </row>
    <row r="22" spans="1:4" x14ac:dyDescent="0.25">
      <c r="A22" s="9" t="s">
        <v>33</v>
      </c>
      <c r="B22" s="9"/>
      <c r="C22" s="9"/>
      <c r="D22" s="9"/>
    </row>
    <row r="23" spans="1:4" x14ac:dyDescent="0.25">
      <c r="A23" s="9" t="s">
        <v>34</v>
      </c>
      <c r="B23" s="9"/>
      <c r="C23" s="9"/>
      <c r="D23" s="9"/>
    </row>
    <row r="24" spans="1:4" x14ac:dyDescent="0.25">
      <c r="A24" s="9" t="s">
        <v>35</v>
      </c>
      <c r="B24" s="9"/>
      <c r="C24" s="9"/>
      <c r="D24" s="9"/>
    </row>
    <row r="25" spans="1:4" x14ac:dyDescent="0.25">
      <c r="A25" s="9" t="s">
        <v>36</v>
      </c>
      <c r="B25" s="9"/>
      <c r="C25" s="9"/>
      <c r="D25" s="9"/>
    </row>
    <row r="26" spans="1:4" x14ac:dyDescent="0.25">
      <c r="A26" s="9" t="s">
        <v>37</v>
      </c>
      <c r="B26" s="9"/>
      <c r="C26" s="9"/>
      <c r="D26" s="9"/>
    </row>
    <row r="27" spans="1:4" x14ac:dyDescent="0.25">
      <c r="A27" s="9" t="s">
        <v>38</v>
      </c>
      <c r="B27" s="9"/>
      <c r="C27" s="9"/>
      <c r="D27" s="9"/>
    </row>
    <row r="28" spans="1:4" x14ac:dyDescent="0.25">
      <c r="A28" s="9" t="s">
        <v>40</v>
      </c>
      <c r="B28" s="9"/>
      <c r="C28" s="9"/>
      <c r="D28" s="9"/>
    </row>
    <row r="29" spans="1:4" x14ac:dyDescent="0.25">
      <c r="A29" s="9" t="s">
        <v>39</v>
      </c>
      <c r="B29" s="9"/>
      <c r="C29" s="9"/>
      <c r="D29" s="9"/>
    </row>
    <row r="30" spans="1:4" x14ac:dyDescent="0.25">
      <c r="A30" s="9"/>
      <c r="B30" s="9"/>
      <c r="C30" s="9"/>
      <c r="D30" s="9"/>
    </row>
    <row r="31" spans="1:4" x14ac:dyDescent="0.25">
      <c r="A31" s="9"/>
      <c r="B31" s="9"/>
      <c r="C31" s="9"/>
      <c r="D31" s="9"/>
    </row>
    <row r="32" spans="1:4" x14ac:dyDescent="0.25">
      <c r="A32" s="9"/>
      <c r="B32" s="9"/>
      <c r="C32" s="9"/>
      <c r="D32" s="9"/>
    </row>
    <row r="33" spans="1:14" x14ac:dyDescent="0.25">
      <c r="A33" s="9"/>
      <c r="B33" s="9"/>
      <c r="C33" s="9"/>
      <c r="D33" s="9"/>
    </row>
    <row r="34" spans="1:14" x14ac:dyDescent="0.25">
      <c r="A34" s="9"/>
      <c r="B34" s="9"/>
      <c r="C34" s="9"/>
      <c r="D34" s="9"/>
    </row>
    <row r="35" spans="1:14" x14ac:dyDescent="0.25">
      <c r="A35" s="9"/>
      <c r="B35" s="9"/>
      <c r="C35" s="9"/>
      <c r="D35" s="9"/>
    </row>
    <row r="36" spans="1:14" x14ac:dyDescent="0.25">
      <c r="A36" s="9"/>
      <c r="B36" s="9"/>
      <c r="C36" s="9"/>
      <c r="D36" s="9"/>
    </row>
    <row r="37" spans="1:14" x14ac:dyDescent="0.25">
      <c r="A37" s="9"/>
      <c r="B37" s="9"/>
      <c r="C37" s="9"/>
      <c r="D37" s="9"/>
    </row>
    <row r="43" spans="1:14" x14ac:dyDescent="0.25">
      <c r="A43" t="s">
        <v>9</v>
      </c>
    </row>
    <row r="45" spans="1:14" x14ac:dyDescent="0.25">
      <c r="A45" t="s">
        <v>10</v>
      </c>
      <c r="B45" t="s">
        <v>11</v>
      </c>
      <c r="M45">
        <v>165.6</v>
      </c>
      <c r="N45">
        <v>12.15</v>
      </c>
    </row>
    <row r="46" spans="1:14" x14ac:dyDescent="0.25">
      <c r="K46">
        <f>13652.04-1579.8</f>
        <v>12072.240000000002</v>
      </c>
      <c r="L46">
        <f>8441.27-976.84</f>
        <v>7464.43</v>
      </c>
      <c r="M46">
        <f>M45*N45*6</f>
        <v>12072.24</v>
      </c>
    </row>
    <row r="53" spans="1:4" ht="15.75" x14ac:dyDescent="0.25">
      <c r="B53" s="4" t="s">
        <v>4</v>
      </c>
      <c r="C53" s="4"/>
    </row>
    <row r="54" spans="1:4" ht="15.75" x14ac:dyDescent="0.25">
      <c r="B54" s="4" t="s">
        <v>5</v>
      </c>
      <c r="C54" s="4"/>
    </row>
    <row r="55" spans="1:4" x14ac:dyDescent="0.25">
      <c r="A55" s="5" t="s">
        <v>25</v>
      </c>
      <c r="B55" s="5"/>
      <c r="C55" s="5"/>
      <c r="D55" s="5"/>
    </row>
    <row r="56" spans="1:4" x14ac:dyDescent="0.25">
      <c r="A56" s="5"/>
      <c r="B56" s="5" t="s">
        <v>6</v>
      </c>
      <c r="C56" s="5"/>
      <c r="D56" s="5"/>
    </row>
    <row r="57" spans="1:4" x14ac:dyDescent="0.25">
      <c r="A57" s="8" t="s">
        <v>24</v>
      </c>
      <c r="B57" s="8" t="s">
        <v>47</v>
      </c>
      <c r="C57" s="6"/>
    </row>
    <row r="60" spans="1:4" ht="30" x14ac:dyDescent="0.25">
      <c r="A60" s="1" t="s">
        <v>0</v>
      </c>
      <c r="B60" s="2" t="s">
        <v>1</v>
      </c>
      <c r="C60" s="2" t="s">
        <v>2</v>
      </c>
      <c r="D60" s="2" t="s">
        <v>3</v>
      </c>
    </row>
    <row r="61" spans="1:4" x14ac:dyDescent="0.25">
      <c r="A61" s="3" t="s">
        <v>26</v>
      </c>
      <c r="B61" s="1">
        <f>K46</f>
        <v>12072.240000000002</v>
      </c>
      <c r="C61" s="1">
        <f>L46</f>
        <v>7464.43</v>
      </c>
      <c r="D61" s="10">
        <f>M46</f>
        <v>12072.24</v>
      </c>
    </row>
    <row r="62" spans="1:4" x14ac:dyDescent="0.25">
      <c r="A62" s="14" t="s">
        <v>8</v>
      </c>
      <c r="B62" s="15"/>
      <c r="C62" s="16"/>
      <c r="D62" s="10">
        <f>B61-D61</f>
        <v>0</v>
      </c>
    </row>
    <row r="64" spans="1:4" x14ac:dyDescent="0.25">
      <c r="A64" s="5" t="s">
        <v>27</v>
      </c>
    </row>
    <row r="66" spans="1:14" x14ac:dyDescent="0.25">
      <c r="A66" s="9" t="s">
        <v>28</v>
      </c>
    </row>
    <row r="67" spans="1:14" x14ac:dyDescent="0.25">
      <c r="A67" s="9" t="s">
        <v>29</v>
      </c>
      <c r="B67" s="9"/>
      <c r="C67" s="9"/>
      <c r="D67" s="9"/>
    </row>
    <row r="68" spans="1:14" x14ac:dyDescent="0.25">
      <c r="A68" s="9" t="s">
        <v>30</v>
      </c>
      <c r="B68" s="9"/>
      <c r="C68" s="9"/>
      <c r="D68" s="9"/>
    </row>
    <row r="69" spans="1:14" x14ac:dyDescent="0.25">
      <c r="A69" s="9" t="s">
        <v>31</v>
      </c>
      <c r="B69" s="9"/>
      <c r="C69" s="9"/>
      <c r="D69" s="9"/>
    </row>
    <row r="70" spans="1:14" x14ac:dyDescent="0.25">
      <c r="A70" s="9" t="s">
        <v>32</v>
      </c>
      <c r="B70" s="9"/>
      <c r="C70" s="9"/>
      <c r="D70" s="9"/>
    </row>
    <row r="71" spans="1:14" x14ac:dyDescent="0.25">
      <c r="A71" s="9" t="s">
        <v>33</v>
      </c>
      <c r="B71" s="9"/>
      <c r="C71" s="9"/>
      <c r="D71" s="9"/>
    </row>
    <row r="72" spans="1:14" x14ac:dyDescent="0.25">
      <c r="A72" s="9" t="s">
        <v>34</v>
      </c>
      <c r="B72" s="9"/>
      <c r="C72" s="9"/>
      <c r="D72" s="9"/>
    </row>
    <row r="73" spans="1:14" x14ac:dyDescent="0.25">
      <c r="A73" s="9" t="s">
        <v>35</v>
      </c>
      <c r="B73" s="9"/>
      <c r="C73" s="9"/>
      <c r="D73" s="9"/>
    </row>
    <row r="74" spans="1:14" x14ac:dyDescent="0.25">
      <c r="A74" s="9" t="s">
        <v>36</v>
      </c>
      <c r="B74" s="9"/>
      <c r="C74" s="9"/>
      <c r="D74" s="9"/>
    </row>
    <row r="75" spans="1:14" x14ac:dyDescent="0.25">
      <c r="A75" s="9" t="s">
        <v>37</v>
      </c>
      <c r="B75" s="9"/>
      <c r="C75" s="9"/>
      <c r="D75" s="9"/>
    </row>
    <row r="76" spans="1:14" x14ac:dyDescent="0.25">
      <c r="A76" s="9" t="s">
        <v>38</v>
      </c>
      <c r="B76" s="9"/>
      <c r="C76" s="9"/>
      <c r="D76" s="9"/>
    </row>
    <row r="77" spans="1:14" x14ac:dyDescent="0.25">
      <c r="A77" s="9" t="s">
        <v>40</v>
      </c>
      <c r="B77" s="9"/>
      <c r="C77" s="9"/>
      <c r="D77" s="9"/>
    </row>
    <row r="78" spans="1:14" x14ac:dyDescent="0.25">
      <c r="A78" s="9" t="s">
        <v>39</v>
      </c>
      <c r="B78" s="9"/>
      <c r="C78" s="9"/>
      <c r="D78" s="9"/>
    </row>
    <row r="79" spans="1:14" x14ac:dyDescent="0.25">
      <c r="A79" s="9"/>
      <c r="B79" s="9"/>
      <c r="C79" s="9"/>
      <c r="D79" s="9"/>
    </row>
    <row r="80" spans="1:14" x14ac:dyDescent="0.25">
      <c r="A80" s="9"/>
      <c r="B80" s="9"/>
      <c r="C80" s="9"/>
      <c r="D80" s="9"/>
      <c r="M80">
        <v>149.19999999999999</v>
      </c>
      <c r="N80">
        <v>12.15</v>
      </c>
    </row>
    <row r="81" spans="1:13" x14ac:dyDescent="0.25">
      <c r="A81" s="9"/>
      <c r="B81" s="9"/>
      <c r="C81" s="9"/>
      <c r="D81" s="9"/>
      <c r="K81">
        <f>12300.3-1423.44</f>
        <v>10876.859999999999</v>
      </c>
      <c r="L81">
        <f>10250.25-1186.2</f>
        <v>9064.0499999999993</v>
      </c>
      <c r="M81">
        <f>M80*N80*6</f>
        <v>10876.68</v>
      </c>
    </row>
    <row r="82" spans="1:13" x14ac:dyDescent="0.25">
      <c r="A82" s="9"/>
      <c r="B82" s="9"/>
      <c r="C82" s="9"/>
      <c r="D82" s="9"/>
    </row>
    <row r="83" spans="1:13" x14ac:dyDescent="0.25">
      <c r="A83" s="9"/>
      <c r="B83" s="9"/>
      <c r="C83" s="9"/>
      <c r="D83" s="9"/>
    </row>
    <row r="84" spans="1:13" x14ac:dyDescent="0.25">
      <c r="A84" s="9"/>
      <c r="B84" s="9"/>
      <c r="C84" s="9"/>
      <c r="D84" s="9"/>
    </row>
    <row r="85" spans="1:13" x14ac:dyDescent="0.25">
      <c r="A85" s="9"/>
      <c r="B85" s="9"/>
      <c r="C85" s="9"/>
      <c r="D85" s="9"/>
    </row>
    <row r="86" spans="1:13" x14ac:dyDescent="0.25">
      <c r="A86" s="9"/>
      <c r="B86" s="9"/>
      <c r="C86" s="9"/>
      <c r="D86" s="9"/>
    </row>
    <row r="92" spans="1:13" x14ac:dyDescent="0.25">
      <c r="A92" t="s">
        <v>9</v>
      </c>
    </row>
    <row r="94" spans="1:13" x14ac:dyDescent="0.25">
      <c r="A94" t="s">
        <v>10</v>
      </c>
      <c r="B94" t="s">
        <v>11</v>
      </c>
    </row>
    <row r="102" spans="1:4" ht="15.75" x14ac:dyDescent="0.25">
      <c r="B102" s="4" t="s">
        <v>4</v>
      </c>
      <c r="C102" s="4"/>
    </row>
    <row r="103" spans="1:4" ht="15.75" x14ac:dyDescent="0.25">
      <c r="B103" s="4" t="s">
        <v>5</v>
      </c>
      <c r="C103" s="4"/>
    </row>
    <row r="104" spans="1:4" x14ac:dyDescent="0.25">
      <c r="A104" s="5" t="s">
        <v>25</v>
      </c>
      <c r="B104" s="5"/>
      <c r="C104" s="5"/>
      <c r="D104" s="5"/>
    </row>
    <row r="105" spans="1:4" x14ac:dyDescent="0.25">
      <c r="A105" s="5"/>
      <c r="B105" s="5" t="s">
        <v>6</v>
      </c>
      <c r="C105" s="5"/>
      <c r="D105" s="5"/>
    </row>
    <row r="106" spans="1:4" x14ac:dyDescent="0.25">
      <c r="A106" s="8" t="s">
        <v>24</v>
      </c>
      <c r="B106" s="8" t="s">
        <v>48</v>
      </c>
      <c r="C106" s="6"/>
    </row>
    <row r="109" spans="1:4" ht="30" x14ac:dyDescent="0.25">
      <c r="A109" s="1" t="s">
        <v>0</v>
      </c>
      <c r="B109" s="2" t="s">
        <v>1</v>
      </c>
      <c r="C109" s="2" t="s">
        <v>2</v>
      </c>
      <c r="D109" s="2" t="s">
        <v>3</v>
      </c>
    </row>
    <row r="110" spans="1:4" x14ac:dyDescent="0.25">
      <c r="A110" s="3" t="s">
        <v>26</v>
      </c>
      <c r="B110" s="1">
        <f>K81</f>
        <v>10876.859999999999</v>
      </c>
      <c r="C110" s="1">
        <f>L81</f>
        <v>9064.0499999999993</v>
      </c>
      <c r="D110" s="10">
        <f>M81</f>
        <v>10876.68</v>
      </c>
    </row>
    <row r="111" spans="1:4" x14ac:dyDescent="0.25">
      <c r="A111" s="14" t="s">
        <v>8</v>
      </c>
      <c r="B111" s="15"/>
      <c r="C111" s="16"/>
      <c r="D111" s="10">
        <f>B110-D110</f>
        <v>0.17999999999847205</v>
      </c>
    </row>
    <row r="113" spans="1:14" x14ac:dyDescent="0.25">
      <c r="A113" s="5" t="s">
        <v>27</v>
      </c>
    </row>
    <row r="115" spans="1:14" x14ac:dyDescent="0.25">
      <c r="A115" s="9" t="s">
        <v>28</v>
      </c>
      <c r="M115">
        <v>166.3</v>
      </c>
      <c r="N115">
        <v>12.15</v>
      </c>
    </row>
    <row r="116" spans="1:14" x14ac:dyDescent="0.25">
      <c r="A116" s="9" t="s">
        <v>29</v>
      </c>
      <c r="B116" s="9"/>
      <c r="C116" s="9"/>
      <c r="D116" s="9"/>
      <c r="K116">
        <f>13709.82-1586.52</f>
        <v>12123.3</v>
      </c>
      <c r="L116">
        <f>9258.05-1071.36</f>
        <v>8186.69</v>
      </c>
      <c r="M116">
        <f>M115*N115*6</f>
        <v>12123.270000000002</v>
      </c>
    </row>
    <row r="117" spans="1:14" x14ac:dyDescent="0.25">
      <c r="A117" s="9" t="s">
        <v>30</v>
      </c>
      <c r="B117" s="9"/>
      <c r="C117" s="9"/>
      <c r="D117" s="9"/>
    </row>
    <row r="118" spans="1:14" x14ac:dyDescent="0.25">
      <c r="A118" s="9" t="s">
        <v>31</v>
      </c>
      <c r="B118" s="9"/>
      <c r="C118" s="9"/>
      <c r="D118" s="9"/>
    </row>
    <row r="119" spans="1:14" x14ac:dyDescent="0.25">
      <c r="A119" s="9" t="s">
        <v>32</v>
      </c>
      <c r="B119" s="9"/>
      <c r="C119" s="9"/>
      <c r="D119" s="9"/>
    </row>
    <row r="120" spans="1:14" x14ac:dyDescent="0.25">
      <c r="A120" s="9" t="s">
        <v>33</v>
      </c>
      <c r="B120" s="9"/>
      <c r="C120" s="9"/>
      <c r="D120" s="9"/>
    </row>
    <row r="121" spans="1:14" x14ac:dyDescent="0.25">
      <c r="A121" s="9" t="s">
        <v>34</v>
      </c>
      <c r="B121" s="9"/>
      <c r="C121" s="9"/>
      <c r="D121" s="9"/>
    </row>
    <row r="122" spans="1:14" x14ac:dyDescent="0.25">
      <c r="A122" s="9" t="s">
        <v>35</v>
      </c>
      <c r="B122" s="9"/>
      <c r="C122" s="9"/>
      <c r="D122" s="9"/>
    </row>
    <row r="123" spans="1:14" x14ac:dyDescent="0.25">
      <c r="A123" s="9" t="s">
        <v>36</v>
      </c>
      <c r="B123" s="9"/>
      <c r="C123" s="9"/>
      <c r="D123" s="9"/>
    </row>
    <row r="124" spans="1:14" x14ac:dyDescent="0.25">
      <c r="A124" s="9" t="s">
        <v>37</v>
      </c>
      <c r="B124" s="9"/>
      <c r="C124" s="9"/>
      <c r="D124" s="9"/>
    </row>
    <row r="125" spans="1:14" x14ac:dyDescent="0.25">
      <c r="A125" s="9" t="s">
        <v>38</v>
      </c>
      <c r="B125" s="9"/>
      <c r="C125" s="9"/>
      <c r="D125" s="9"/>
    </row>
    <row r="126" spans="1:14" x14ac:dyDescent="0.25">
      <c r="A126" s="9" t="s">
        <v>40</v>
      </c>
      <c r="B126" s="9"/>
      <c r="C126" s="9"/>
      <c r="D126" s="9"/>
    </row>
    <row r="127" spans="1:14" x14ac:dyDescent="0.25">
      <c r="A127" s="9" t="s">
        <v>39</v>
      </c>
      <c r="B127" s="9"/>
      <c r="C127" s="9"/>
      <c r="D127" s="9"/>
    </row>
    <row r="128" spans="1:14" x14ac:dyDescent="0.25">
      <c r="A128" s="9"/>
      <c r="B128" s="9"/>
      <c r="C128" s="9"/>
      <c r="D128" s="9"/>
    </row>
    <row r="129" spans="1:4" x14ac:dyDescent="0.25">
      <c r="A129" s="9"/>
      <c r="B129" s="9"/>
      <c r="C129" s="9"/>
      <c r="D129" s="9"/>
    </row>
    <row r="130" spans="1:4" x14ac:dyDescent="0.25">
      <c r="A130" s="9"/>
      <c r="B130" s="9"/>
      <c r="C130" s="9"/>
      <c r="D130" s="9"/>
    </row>
    <row r="131" spans="1:4" x14ac:dyDescent="0.25">
      <c r="A131" s="9"/>
      <c r="B131" s="9"/>
      <c r="C131" s="9"/>
      <c r="D131" s="9"/>
    </row>
    <row r="132" spans="1:4" x14ac:dyDescent="0.25">
      <c r="A132" s="9"/>
      <c r="B132" s="9"/>
      <c r="C132" s="9"/>
      <c r="D132" s="9"/>
    </row>
    <row r="133" spans="1:4" x14ac:dyDescent="0.25">
      <c r="A133" s="9"/>
      <c r="B133" s="9"/>
      <c r="C133" s="9"/>
      <c r="D133" s="9"/>
    </row>
    <row r="134" spans="1:4" x14ac:dyDescent="0.25">
      <c r="A134" s="9"/>
      <c r="B134" s="9"/>
      <c r="C134" s="9"/>
      <c r="D134" s="9"/>
    </row>
    <row r="135" spans="1:4" x14ac:dyDescent="0.25">
      <c r="A135" s="9"/>
      <c r="B135" s="9"/>
      <c r="C135" s="9"/>
      <c r="D135" s="9"/>
    </row>
    <row r="141" spans="1:4" x14ac:dyDescent="0.25">
      <c r="A141" t="s">
        <v>9</v>
      </c>
    </row>
    <row r="143" spans="1:4" x14ac:dyDescent="0.25">
      <c r="A143" t="s">
        <v>10</v>
      </c>
      <c r="B143" t="s">
        <v>11</v>
      </c>
    </row>
    <row r="151" spans="1:14" ht="15.75" x14ac:dyDescent="0.25">
      <c r="B151" s="4" t="s">
        <v>4</v>
      </c>
      <c r="C151" s="4"/>
      <c r="M151">
        <v>545.20000000000005</v>
      </c>
      <c r="N151">
        <v>12.6</v>
      </c>
    </row>
    <row r="152" spans="1:14" ht="15.75" x14ac:dyDescent="0.25">
      <c r="B152" s="4" t="s">
        <v>5</v>
      </c>
      <c r="C152" s="4"/>
      <c r="K152">
        <f>53748.1-3729.3-8801.08</f>
        <v>41217.719999999994</v>
      </c>
      <c r="L152">
        <f>41774.787-2829.6-7671.48</f>
        <v>31273.706999999999</v>
      </c>
      <c r="M152">
        <f>M151*N151*6</f>
        <v>41217.120000000003</v>
      </c>
    </row>
    <row r="153" spans="1:14" x14ac:dyDescent="0.25">
      <c r="A153" s="5" t="s">
        <v>25</v>
      </c>
      <c r="B153" s="5"/>
      <c r="C153" s="5"/>
      <c r="D153" s="5"/>
    </row>
    <row r="154" spans="1:14" x14ac:dyDescent="0.25">
      <c r="A154" s="5"/>
      <c r="B154" s="5" t="s">
        <v>6</v>
      </c>
      <c r="C154" s="5"/>
      <c r="D154" s="5"/>
    </row>
    <row r="155" spans="1:14" x14ac:dyDescent="0.25">
      <c r="A155" s="8" t="s">
        <v>24</v>
      </c>
      <c r="B155" s="8" t="s">
        <v>49</v>
      </c>
      <c r="C155" s="6"/>
    </row>
    <row r="158" spans="1:14" ht="30" x14ac:dyDescent="0.25">
      <c r="A158" s="1" t="s">
        <v>0</v>
      </c>
      <c r="B158" s="2" t="s">
        <v>1</v>
      </c>
      <c r="C158" s="2" t="s">
        <v>2</v>
      </c>
      <c r="D158" s="2" t="s">
        <v>3</v>
      </c>
    </row>
    <row r="159" spans="1:14" x14ac:dyDescent="0.25">
      <c r="A159" s="3" t="s">
        <v>26</v>
      </c>
      <c r="B159" s="1">
        <f>K116</f>
        <v>12123.3</v>
      </c>
      <c r="C159" s="1">
        <f>L116</f>
        <v>8186.69</v>
      </c>
      <c r="D159" s="10">
        <f>M116</f>
        <v>12123.270000000002</v>
      </c>
    </row>
    <row r="160" spans="1:14" x14ac:dyDescent="0.25">
      <c r="A160" s="14" t="s">
        <v>8</v>
      </c>
      <c r="B160" s="15"/>
      <c r="C160" s="16"/>
      <c r="D160" s="10">
        <f>B159-D159</f>
        <v>2.9999999997016857E-2</v>
      </c>
    </row>
    <row r="162" spans="1:4" x14ac:dyDescent="0.25">
      <c r="A162" s="5" t="s">
        <v>27</v>
      </c>
    </row>
    <row r="164" spans="1:4" x14ac:dyDescent="0.25">
      <c r="A164" s="9" t="s">
        <v>28</v>
      </c>
    </row>
    <row r="165" spans="1:4" x14ac:dyDescent="0.25">
      <c r="A165" s="9" t="s">
        <v>29</v>
      </c>
      <c r="B165" s="9"/>
      <c r="C165" s="9"/>
      <c r="D165" s="9"/>
    </row>
    <row r="166" spans="1:4" x14ac:dyDescent="0.25">
      <c r="A166" s="9" t="s">
        <v>30</v>
      </c>
      <c r="B166" s="9"/>
      <c r="C166" s="9"/>
      <c r="D166" s="9"/>
    </row>
    <row r="167" spans="1:4" x14ac:dyDescent="0.25">
      <c r="A167" s="9" t="s">
        <v>31</v>
      </c>
      <c r="B167" s="9"/>
      <c r="C167" s="9"/>
      <c r="D167" s="9"/>
    </row>
    <row r="168" spans="1:4" x14ac:dyDescent="0.25">
      <c r="A168" s="9" t="s">
        <v>32</v>
      </c>
      <c r="B168" s="9"/>
      <c r="C168" s="9"/>
      <c r="D168" s="9"/>
    </row>
    <row r="169" spans="1:4" x14ac:dyDescent="0.25">
      <c r="A169" s="9" t="s">
        <v>33</v>
      </c>
      <c r="B169" s="9"/>
      <c r="C169" s="9"/>
      <c r="D169" s="9"/>
    </row>
    <row r="170" spans="1:4" x14ac:dyDescent="0.25">
      <c r="A170" s="9" t="s">
        <v>34</v>
      </c>
      <c r="B170" s="9"/>
      <c r="C170" s="9"/>
      <c r="D170" s="9"/>
    </row>
    <row r="171" spans="1:4" x14ac:dyDescent="0.25">
      <c r="A171" s="9" t="s">
        <v>35</v>
      </c>
      <c r="B171" s="9"/>
      <c r="C171" s="9"/>
      <c r="D171" s="9"/>
    </row>
    <row r="172" spans="1:4" x14ac:dyDescent="0.25">
      <c r="A172" s="9" t="s">
        <v>36</v>
      </c>
      <c r="B172" s="9"/>
      <c r="C172" s="9"/>
      <c r="D172" s="9"/>
    </row>
    <row r="173" spans="1:4" x14ac:dyDescent="0.25">
      <c r="A173" s="9" t="s">
        <v>37</v>
      </c>
      <c r="B173" s="9"/>
      <c r="C173" s="9"/>
      <c r="D173" s="9"/>
    </row>
    <row r="174" spans="1:4" x14ac:dyDescent="0.25">
      <c r="A174" s="9" t="s">
        <v>38</v>
      </c>
      <c r="B174" s="9"/>
      <c r="C174" s="9"/>
      <c r="D174" s="9"/>
    </row>
    <row r="175" spans="1:4" x14ac:dyDescent="0.25">
      <c r="A175" s="9" t="s">
        <v>40</v>
      </c>
      <c r="B175" s="9"/>
      <c r="C175" s="9"/>
      <c r="D175" s="9"/>
    </row>
    <row r="176" spans="1:4" x14ac:dyDescent="0.25">
      <c r="A176" s="9" t="s">
        <v>39</v>
      </c>
      <c r="B176" s="9"/>
      <c r="C176" s="9"/>
      <c r="D176" s="9"/>
    </row>
    <row r="177" spans="1:4" x14ac:dyDescent="0.25">
      <c r="A177" s="9"/>
      <c r="B177" s="9"/>
      <c r="C177" s="9"/>
      <c r="D177" s="9"/>
    </row>
    <row r="178" spans="1:4" x14ac:dyDescent="0.25">
      <c r="A178" s="9"/>
      <c r="B178" s="9"/>
      <c r="C178" s="9"/>
      <c r="D178" s="9"/>
    </row>
    <row r="179" spans="1:4" x14ac:dyDescent="0.25">
      <c r="A179" s="9"/>
      <c r="B179" s="9"/>
      <c r="C179" s="9"/>
      <c r="D179" s="9"/>
    </row>
    <row r="180" spans="1:4" x14ac:dyDescent="0.25">
      <c r="A180" s="9"/>
      <c r="B180" s="9"/>
      <c r="C180" s="9"/>
      <c r="D180" s="9"/>
    </row>
    <row r="181" spans="1:4" x14ac:dyDescent="0.25">
      <c r="A181" s="9"/>
      <c r="B181" s="9"/>
      <c r="C181" s="9"/>
      <c r="D181" s="9"/>
    </row>
    <row r="182" spans="1:4" x14ac:dyDescent="0.25">
      <c r="A182" s="9"/>
      <c r="B182" s="9"/>
      <c r="C182" s="9"/>
      <c r="D182" s="9"/>
    </row>
    <row r="183" spans="1:4" x14ac:dyDescent="0.25">
      <c r="A183" s="9"/>
      <c r="B183" s="9"/>
      <c r="C183" s="9"/>
      <c r="D183" s="9"/>
    </row>
    <row r="184" spans="1:4" x14ac:dyDescent="0.25">
      <c r="A184" s="9"/>
      <c r="B184" s="9"/>
      <c r="C184" s="9"/>
      <c r="D184" s="9"/>
    </row>
    <row r="190" spans="1:4" x14ac:dyDescent="0.25">
      <c r="A190" t="s">
        <v>9</v>
      </c>
    </row>
    <row r="192" spans="1:4" x14ac:dyDescent="0.25">
      <c r="A192" t="s">
        <v>10</v>
      </c>
      <c r="B192" t="s">
        <v>11</v>
      </c>
    </row>
    <row r="200" spans="1:4" ht="15.75" x14ac:dyDescent="0.25">
      <c r="B200" s="4" t="s">
        <v>4</v>
      </c>
      <c r="C200" s="4"/>
    </row>
    <row r="201" spans="1:4" ht="15.75" x14ac:dyDescent="0.25">
      <c r="B201" s="4" t="s">
        <v>5</v>
      </c>
      <c r="C201" s="4"/>
    </row>
    <row r="202" spans="1:4" x14ac:dyDescent="0.25">
      <c r="A202" s="5" t="s">
        <v>25</v>
      </c>
      <c r="B202" s="5"/>
      <c r="C202" s="5"/>
      <c r="D202" s="5"/>
    </row>
    <row r="203" spans="1:4" x14ac:dyDescent="0.25">
      <c r="A203" s="5"/>
      <c r="B203" s="5" t="s">
        <v>6</v>
      </c>
      <c r="C203" s="5"/>
      <c r="D203" s="5"/>
    </row>
    <row r="204" spans="1:4" x14ac:dyDescent="0.25">
      <c r="A204" s="8" t="s">
        <v>24</v>
      </c>
      <c r="B204" s="8" t="s">
        <v>50</v>
      </c>
      <c r="C204" s="6"/>
    </row>
    <row r="207" spans="1:4" ht="30" x14ac:dyDescent="0.25">
      <c r="A207" s="1" t="s">
        <v>0</v>
      </c>
      <c r="B207" s="2" t="s">
        <v>1</v>
      </c>
      <c r="C207" s="2" t="s">
        <v>2</v>
      </c>
      <c r="D207" s="2" t="s">
        <v>3</v>
      </c>
    </row>
    <row r="208" spans="1:4" x14ac:dyDescent="0.25">
      <c r="A208" s="3" t="s">
        <v>26</v>
      </c>
      <c r="B208" s="1">
        <f>K152</f>
        <v>41217.719999999994</v>
      </c>
      <c r="C208" s="1">
        <f>L152</f>
        <v>31273.706999999999</v>
      </c>
      <c r="D208" s="10">
        <f>M152</f>
        <v>41217.120000000003</v>
      </c>
    </row>
    <row r="209" spans="1:4" x14ac:dyDescent="0.25">
      <c r="A209" s="14" t="s">
        <v>8</v>
      </c>
      <c r="B209" s="15"/>
      <c r="C209" s="16"/>
      <c r="D209" s="10">
        <f>B208-D208</f>
        <v>0.59999999999126885</v>
      </c>
    </row>
    <row r="211" spans="1:4" x14ac:dyDescent="0.25">
      <c r="A211" s="5" t="s">
        <v>27</v>
      </c>
    </row>
    <row r="213" spans="1:4" x14ac:dyDescent="0.25">
      <c r="A213" s="9" t="s">
        <v>28</v>
      </c>
    </row>
    <row r="214" spans="1:4" x14ac:dyDescent="0.25">
      <c r="A214" s="9" t="s">
        <v>29</v>
      </c>
      <c r="B214" s="9"/>
      <c r="C214" s="9"/>
      <c r="D214" s="9"/>
    </row>
    <row r="215" spans="1:4" x14ac:dyDescent="0.25">
      <c r="A215" s="9" t="s">
        <v>30</v>
      </c>
      <c r="B215" s="9"/>
      <c r="C215" s="9"/>
      <c r="D215" s="9"/>
    </row>
    <row r="216" spans="1:4" x14ac:dyDescent="0.25">
      <c r="A216" s="9" t="s">
        <v>31</v>
      </c>
      <c r="B216" s="9"/>
      <c r="C216" s="9"/>
      <c r="D216" s="9"/>
    </row>
    <row r="217" spans="1:4" x14ac:dyDescent="0.25">
      <c r="A217" s="9" t="s">
        <v>32</v>
      </c>
      <c r="B217" s="9"/>
      <c r="C217" s="9"/>
      <c r="D217" s="9"/>
    </row>
    <row r="218" spans="1:4" x14ac:dyDescent="0.25">
      <c r="A218" s="9" t="s">
        <v>33</v>
      </c>
      <c r="B218" s="9"/>
      <c r="C218" s="9"/>
      <c r="D218" s="9"/>
    </row>
    <row r="219" spans="1:4" x14ac:dyDescent="0.25">
      <c r="A219" s="9" t="s">
        <v>34</v>
      </c>
      <c r="B219" s="9"/>
      <c r="C219" s="9"/>
      <c r="D219" s="9"/>
    </row>
    <row r="220" spans="1:4" x14ac:dyDescent="0.25">
      <c r="A220" s="9" t="s">
        <v>35</v>
      </c>
      <c r="B220" s="9"/>
      <c r="C220" s="9"/>
      <c r="D220" s="9"/>
    </row>
    <row r="221" spans="1:4" x14ac:dyDescent="0.25">
      <c r="A221" s="9" t="s">
        <v>36</v>
      </c>
      <c r="B221" s="9"/>
      <c r="C221" s="9"/>
      <c r="D221" s="9"/>
    </row>
    <row r="222" spans="1:4" x14ac:dyDescent="0.25">
      <c r="A222" s="9" t="s">
        <v>37</v>
      </c>
      <c r="B222" s="9"/>
      <c r="C222" s="9"/>
      <c r="D222" s="9"/>
    </row>
    <row r="223" spans="1:4" x14ac:dyDescent="0.25">
      <c r="A223" s="9" t="s">
        <v>38</v>
      </c>
      <c r="B223" s="9"/>
      <c r="C223" s="9"/>
      <c r="D223" s="9"/>
    </row>
    <row r="224" spans="1:4" x14ac:dyDescent="0.25">
      <c r="A224" s="9" t="s">
        <v>40</v>
      </c>
      <c r="B224" s="9"/>
      <c r="C224" s="9"/>
      <c r="D224" s="9"/>
    </row>
    <row r="225" spans="1:4" x14ac:dyDescent="0.25">
      <c r="A225" s="9" t="s">
        <v>39</v>
      </c>
      <c r="B225" s="9"/>
      <c r="C225" s="9"/>
      <c r="D225" s="9"/>
    </row>
    <row r="226" spans="1:4" x14ac:dyDescent="0.25">
      <c r="A226" s="9"/>
      <c r="B226" s="9"/>
      <c r="C226" s="9"/>
      <c r="D226" s="9"/>
    </row>
    <row r="227" spans="1:4" x14ac:dyDescent="0.25">
      <c r="A227" s="9"/>
      <c r="B227" s="9"/>
      <c r="C227" s="9"/>
      <c r="D227" s="9"/>
    </row>
    <row r="228" spans="1:4" x14ac:dyDescent="0.25">
      <c r="A228" s="9"/>
      <c r="B228" s="9"/>
      <c r="C228" s="9"/>
      <c r="D228" s="9"/>
    </row>
    <row r="229" spans="1:4" x14ac:dyDescent="0.25">
      <c r="A229" s="9"/>
      <c r="B229" s="9"/>
      <c r="C229" s="9"/>
      <c r="D229" s="9"/>
    </row>
    <row r="230" spans="1:4" x14ac:dyDescent="0.25">
      <c r="A230" s="9"/>
      <c r="B230" s="9"/>
      <c r="C230" s="9"/>
      <c r="D230" s="9"/>
    </row>
    <row r="231" spans="1:4" x14ac:dyDescent="0.25">
      <c r="A231" s="9"/>
      <c r="B231" s="9"/>
      <c r="C231" s="9"/>
      <c r="D231" s="9"/>
    </row>
    <row r="232" spans="1:4" x14ac:dyDescent="0.25">
      <c r="A232" s="9"/>
      <c r="B232" s="9"/>
      <c r="C232" s="9"/>
      <c r="D232" s="9"/>
    </row>
    <row r="233" spans="1:4" x14ac:dyDescent="0.25">
      <c r="A233" s="9"/>
      <c r="B233" s="9"/>
      <c r="C233" s="9"/>
      <c r="D233" s="9"/>
    </row>
    <row r="239" spans="1:4" x14ac:dyDescent="0.25">
      <c r="A239" t="s">
        <v>9</v>
      </c>
    </row>
    <row r="241" spans="1:2" x14ac:dyDescent="0.25">
      <c r="A241" t="s">
        <v>10</v>
      </c>
      <c r="B241" t="s">
        <v>11</v>
      </c>
    </row>
  </sheetData>
  <mergeCells count="5">
    <mergeCell ref="A160:C160"/>
    <mergeCell ref="A209:C209"/>
    <mergeCell ref="A13:C13"/>
    <mergeCell ref="A62:C62"/>
    <mergeCell ref="A111:C11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94"/>
  <sheetViews>
    <sheetView topLeftCell="A73" workbookViewId="0">
      <selection sqref="A1:F98"/>
    </sheetView>
  </sheetViews>
  <sheetFormatPr defaultRowHeight="15" x14ac:dyDescent="0.25"/>
  <cols>
    <col min="1" max="1" width="28.28515625" customWidth="1"/>
    <col min="2" max="2" width="17.28515625" customWidth="1"/>
    <col min="3" max="3" width="11.85546875" customWidth="1"/>
    <col min="4" max="4" width="11.28515625" customWidth="1"/>
    <col min="7" max="7" width="1.28515625" customWidth="1"/>
    <col min="8" max="9" width="8.85546875" hidden="1" customWidth="1"/>
  </cols>
  <sheetData>
    <row r="4" spans="1:4" ht="15.75" x14ac:dyDescent="0.25">
      <c r="B4" s="4" t="s">
        <v>4</v>
      </c>
      <c r="C4" s="4"/>
    </row>
    <row r="5" spans="1:4" ht="15.75" x14ac:dyDescent="0.25">
      <c r="B5" s="4" t="s">
        <v>5</v>
      </c>
      <c r="C5" s="4"/>
    </row>
    <row r="6" spans="1:4" x14ac:dyDescent="0.25">
      <c r="A6" s="5" t="s">
        <v>25</v>
      </c>
      <c r="B6" s="5"/>
      <c r="C6" s="5"/>
      <c r="D6" s="5"/>
    </row>
    <row r="7" spans="1:4" x14ac:dyDescent="0.25">
      <c r="A7" s="5"/>
      <c r="B7" s="5" t="s">
        <v>6</v>
      </c>
      <c r="C7" s="5"/>
      <c r="D7" s="5"/>
    </row>
    <row r="8" spans="1:4" x14ac:dyDescent="0.25">
      <c r="A8" s="8" t="s">
        <v>41</v>
      </c>
      <c r="B8" s="8" t="s">
        <v>16</v>
      </c>
      <c r="C8" s="6">
        <v>5</v>
      </c>
    </row>
    <row r="11" spans="1:4" ht="30" x14ac:dyDescent="0.25">
      <c r="A11" s="1" t="s">
        <v>0</v>
      </c>
      <c r="B11" s="2" t="s">
        <v>1</v>
      </c>
      <c r="C11" s="2" t="s">
        <v>2</v>
      </c>
      <c r="D11" s="2" t="s">
        <v>3</v>
      </c>
    </row>
    <row r="12" spans="1:4" x14ac:dyDescent="0.25">
      <c r="A12" s="3" t="s">
        <v>26</v>
      </c>
      <c r="B12" s="1">
        <f>K22</f>
        <v>61161.60000000002</v>
      </c>
      <c r="C12" s="1">
        <f>L22</f>
        <v>41752.909999999989</v>
      </c>
      <c r="D12" s="10">
        <f>M22</f>
        <v>61161.156000000003</v>
      </c>
    </row>
    <row r="13" spans="1:4" x14ac:dyDescent="0.25">
      <c r="A13" s="14" t="s">
        <v>8</v>
      </c>
      <c r="B13" s="15"/>
      <c r="C13" s="16"/>
      <c r="D13" s="10">
        <f>B12-D12</f>
        <v>0.44400000001769513</v>
      </c>
    </row>
    <row r="15" spans="1:4" x14ac:dyDescent="0.25">
      <c r="A15" s="5" t="s">
        <v>27</v>
      </c>
    </row>
    <row r="17" spans="1:14" x14ac:dyDescent="0.25">
      <c r="A17" s="9" t="s">
        <v>28</v>
      </c>
    </row>
    <row r="18" spans="1:14" x14ac:dyDescent="0.25">
      <c r="A18" s="9" t="s">
        <v>29</v>
      </c>
      <c r="B18" s="9"/>
      <c r="C18" s="9"/>
      <c r="D18" s="9"/>
    </row>
    <row r="19" spans="1:14" x14ac:dyDescent="0.25">
      <c r="A19" s="9" t="s">
        <v>30</v>
      </c>
      <c r="B19" s="9"/>
      <c r="C19" s="9"/>
      <c r="D19" s="9"/>
    </row>
    <row r="20" spans="1:14" x14ac:dyDescent="0.25">
      <c r="A20" s="9" t="s">
        <v>31</v>
      </c>
      <c r="B20" s="9"/>
      <c r="C20" s="9"/>
      <c r="D20" s="9"/>
    </row>
    <row r="21" spans="1:14" x14ac:dyDescent="0.25">
      <c r="A21" s="9" t="s">
        <v>32</v>
      </c>
      <c r="B21" s="9"/>
      <c r="C21" s="9"/>
      <c r="D21" s="9"/>
      <c r="M21">
        <v>720.9</v>
      </c>
      <c r="N21">
        <v>14.14</v>
      </c>
    </row>
    <row r="22" spans="1:14" x14ac:dyDescent="0.25">
      <c r="A22" s="9" t="s">
        <v>33</v>
      </c>
      <c r="B22" s="9"/>
      <c r="C22" s="9"/>
      <c r="D22" s="9"/>
      <c r="K22">
        <f>272101.33-159564.12-12868.43-164.1-16566.42-21776.66</f>
        <v>61161.60000000002</v>
      </c>
      <c r="L22">
        <f>186518.09-108929.05-9068.52-112-11309.27-15346.34</f>
        <v>41752.909999999989</v>
      </c>
      <c r="M22">
        <f>M21*N21*6</f>
        <v>61161.156000000003</v>
      </c>
    </row>
    <row r="23" spans="1:14" x14ac:dyDescent="0.25">
      <c r="A23" s="9" t="s">
        <v>34</v>
      </c>
      <c r="B23" s="9"/>
      <c r="C23" s="9"/>
      <c r="D23" s="9"/>
    </row>
    <row r="24" spans="1:14" x14ac:dyDescent="0.25">
      <c r="A24" s="9" t="s">
        <v>35</v>
      </c>
      <c r="B24" s="9"/>
      <c r="C24" s="9"/>
      <c r="D24" s="9"/>
    </row>
    <row r="25" spans="1:14" x14ac:dyDescent="0.25">
      <c r="A25" s="9" t="s">
        <v>36</v>
      </c>
      <c r="B25" s="9"/>
      <c r="C25" s="9"/>
      <c r="D25" s="9"/>
    </row>
    <row r="26" spans="1:14" x14ac:dyDescent="0.25">
      <c r="A26" s="9" t="s">
        <v>37</v>
      </c>
      <c r="B26" s="9"/>
      <c r="C26" s="9"/>
      <c r="D26" s="9"/>
    </row>
    <row r="27" spans="1:14" x14ac:dyDescent="0.25">
      <c r="A27" s="9" t="s">
        <v>38</v>
      </c>
      <c r="B27" s="9"/>
      <c r="C27" s="9"/>
      <c r="D27" s="9"/>
    </row>
    <row r="28" spans="1:14" x14ac:dyDescent="0.25">
      <c r="A28" s="9" t="s">
        <v>40</v>
      </c>
      <c r="B28" s="9"/>
      <c r="C28" s="9"/>
      <c r="D28" s="9"/>
    </row>
    <row r="29" spans="1:14" x14ac:dyDescent="0.25">
      <c r="A29" s="9" t="s">
        <v>39</v>
      </c>
      <c r="B29" s="9"/>
      <c r="C29" s="9"/>
      <c r="D29" s="9"/>
    </row>
    <row r="30" spans="1:14" x14ac:dyDescent="0.25">
      <c r="A30" s="9"/>
      <c r="B30" s="9"/>
      <c r="C30" s="9"/>
      <c r="D30" s="9"/>
    </row>
    <row r="31" spans="1:14" x14ac:dyDescent="0.25">
      <c r="A31" s="9"/>
      <c r="B31" s="9"/>
      <c r="C31" s="9"/>
      <c r="D31" s="9"/>
    </row>
    <row r="32" spans="1:14" x14ac:dyDescent="0.25">
      <c r="A32" s="9"/>
      <c r="B32" s="9"/>
      <c r="C32" s="9"/>
      <c r="D32" s="9"/>
    </row>
    <row r="33" spans="1:4" x14ac:dyDescent="0.25">
      <c r="A33" s="9"/>
      <c r="B33" s="9"/>
      <c r="C33" s="9"/>
      <c r="D33" s="9"/>
    </row>
    <row r="34" spans="1:4" x14ac:dyDescent="0.25">
      <c r="A34" s="9"/>
      <c r="B34" s="9"/>
      <c r="C34" s="9"/>
      <c r="D34" s="9"/>
    </row>
    <row r="35" spans="1:4" x14ac:dyDescent="0.25">
      <c r="A35" s="9"/>
      <c r="B35" s="9"/>
      <c r="C35" s="9"/>
      <c r="D35" s="9"/>
    </row>
    <row r="36" spans="1:4" x14ac:dyDescent="0.25">
      <c r="A36" s="9"/>
      <c r="B36" s="9"/>
      <c r="C36" s="9"/>
      <c r="D36" s="9"/>
    </row>
    <row r="37" spans="1:4" x14ac:dyDescent="0.25">
      <c r="A37" s="9"/>
      <c r="B37" s="9"/>
      <c r="C37" s="9"/>
      <c r="D37" s="9"/>
    </row>
    <row r="43" spans="1:4" x14ac:dyDescent="0.25">
      <c r="A43" t="s">
        <v>9</v>
      </c>
    </row>
    <row r="45" spans="1:4" x14ac:dyDescent="0.25">
      <c r="A45" t="s">
        <v>10</v>
      </c>
      <c r="B45" t="s">
        <v>11</v>
      </c>
    </row>
    <row r="53" spans="1:14" ht="15.75" x14ac:dyDescent="0.25">
      <c r="B53" s="4" t="s">
        <v>4</v>
      </c>
      <c r="C53" s="4"/>
    </row>
    <row r="54" spans="1:14" ht="15.75" x14ac:dyDescent="0.25">
      <c r="B54" s="4" t="s">
        <v>5</v>
      </c>
      <c r="C54" s="4"/>
    </row>
    <row r="55" spans="1:14" x14ac:dyDescent="0.25">
      <c r="A55" s="5" t="s">
        <v>25</v>
      </c>
      <c r="B55" s="5"/>
      <c r="C55" s="5"/>
      <c r="D55" s="5"/>
    </row>
    <row r="56" spans="1:14" x14ac:dyDescent="0.25">
      <c r="A56" s="5"/>
      <c r="B56" s="5" t="s">
        <v>6</v>
      </c>
      <c r="C56" s="5"/>
      <c r="D56" s="5"/>
    </row>
    <row r="57" spans="1:14" x14ac:dyDescent="0.25">
      <c r="A57" s="8" t="s">
        <v>41</v>
      </c>
      <c r="B57" s="8" t="s">
        <v>16</v>
      </c>
      <c r="C57" s="6" t="s">
        <v>17</v>
      </c>
    </row>
    <row r="58" spans="1:14" x14ac:dyDescent="0.25">
      <c r="M58">
        <v>908.7</v>
      </c>
      <c r="N58">
        <v>14.19</v>
      </c>
    </row>
    <row r="59" spans="1:14" x14ac:dyDescent="0.25">
      <c r="K59">
        <f>334726.5-190927.92-16948.21-246.6-20554.8-28681.43</f>
        <v>77367.539999999979</v>
      </c>
      <c r="L59">
        <f>273244.48-155369.5-14073.99-200.92-16747.09-23817.54</f>
        <v>63035.439999999981</v>
      </c>
      <c r="M59">
        <f>M58*N58*6</f>
        <v>77366.717999999993</v>
      </c>
    </row>
    <row r="60" spans="1:14" ht="30" x14ac:dyDescent="0.25">
      <c r="A60" s="1" t="s">
        <v>0</v>
      </c>
      <c r="B60" s="2" t="s">
        <v>1</v>
      </c>
      <c r="C60" s="2" t="s">
        <v>2</v>
      </c>
      <c r="D60" s="2" t="s">
        <v>3</v>
      </c>
    </row>
    <row r="61" spans="1:14" x14ac:dyDescent="0.25">
      <c r="A61" s="3" t="s">
        <v>26</v>
      </c>
      <c r="B61" s="1">
        <f>K59</f>
        <v>77367.539999999979</v>
      </c>
      <c r="C61" s="1">
        <f>L59</f>
        <v>63035.439999999981</v>
      </c>
      <c r="D61" s="10">
        <f>M59</f>
        <v>77366.717999999993</v>
      </c>
    </row>
    <row r="62" spans="1:14" x14ac:dyDescent="0.25">
      <c r="A62" s="14" t="s">
        <v>8</v>
      </c>
      <c r="B62" s="15"/>
      <c r="C62" s="16"/>
      <c r="D62" s="10">
        <f>B61-D61</f>
        <v>0.8219999999855645</v>
      </c>
    </row>
    <row r="64" spans="1:14" x14ac:dyDescent="0.25">
      <c r="A64" s="5" t="s">
        <v>27</v>
      </c>
    </row>
    <row r="66" spans="1:4" x14ac:dyDescent="0.25">
      <c r="A66" s="9" t="s">
        <v>28</v>
      </c>
    </row>
    <row r="67" spans="1:4" x14ac:dyDescent="0.25">
      <c r="A67" s="9" t="s">
        <v>29</v>
      </c>
      <c r="B67" s="9"/>
      <c r="C67" s="9"/>
      <c r="D67" s="9"/>
    </row>
    <row r="68" spans="1:4" x14ac:dyDescent="0.25">
      <c r="A68" s="9" t="s">
        <v>30</v>
      </c>
      <c r="B68" s="9"/>
      <c r="C68" s="9"/>
      <c r="D68" s="9"/>
    </row>
    <row r="69" spans="1:4" x14ac:dyDescent="0.25">
      <c r="A69" s="9" t="s">
        <v>31</v>
      </c>
      <c r="B69" s="9"/>
      <c r="C69" s="9"/>
      <c r="D69" s="9"/>
    </row>
    <row r="70" spans="1:4" x14ac:dyDescent="0.25">
      <c r="A70" s="9" t="s">
        <v>32</v>
      </c>
      <c r="B70" s="9"/>
      <c r="C70" s="9"/>
      <c r="D70" s="9"/>
    </row>
    <row r="71" spans="1:4" x14ac:dyDescent="0.25">
      <c r="A71" s="9" t="s">
        <v>33</v>
      </c>
      <c r="B71" s="9"/>
      <c r="C71" s="9"/>
      <c r="D71" s="9"/>
    </row>
    <row r="72" spans="1:4" x14ac:dyDescent="0.25">
      <c r="A72" s="9" t="s">
        <v>34</v>
      </c>
      <c r="B72" s="9"/>
      <c r="C72" s="9"/>
      <c r="D72" s="9"/>
    </row>
    <row r="73" spans="1:4" x14ac:dyDescent="0.25">
      <c r="A73" s="9" t="s">
        <v>35</v>
      </c>
      <c r="B73" s="9"/>
      <c r="C73" s="9"/>
      <c r="D73" s="9"/>
    </row>
    <row r="74" spans="1:4" x14ac:dyDescent="0.25">
      <c r="A74" s="9" t="s">
        <v>36</v>
      </c>
      <c r="B74" s="9"/>
      <c r="C74" s="9"/>
      <c r="D74" s="9"/>
    </row>
    <row r="75" spans="1:4" x14ac:dyDescent="0.25">
      <c r="A75" s="9" t="s">
        <v>37</v>
      </c>
      <c r="B75" s="9"/>
      <c r="C75" s="9"/>
      <c r="D75" s="9"/>
    </row>
    <row r="76" spans="1:4" x14ac:dyDescent="0.25">
      <c r="A76" s="9" t="s">
        <v>38</v>
      </c>
      <c r="B76" s="9"/>
      <c r="C76" s="9"/>
      <c r="D76" s="9"/>
    </row>
    <row r="77" spans="1:4" x14ac:dyDescent="0.25">
      <c r="A77" s="9" t="s">
        <v>40</v>
      </c>
      <c r="B77" s="9"/>
      <c r="C77" s="9"/>
      <c r="D77" s="9"/>
    </row>
    <row r="78" spans="1:4" x14ac:dyDescent="0.25">
      <c r="A78" s="9" t="s">
        <v>39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92" spans="1:4" x14ac:dyDescent="0.25">
      <c r="A92" t="s">
        <v>9</v>
      </c>
    </row>
    <row r="94" spans="1:4" x14ac:dyDescent="0.25">
      <c r="A94" t="s">
        <v>10</v>
      </c>
      <c r="B94" t="s">
        <v>11</v>
      </c>
    </row>
  </sheetData>
  <mergeCells count="2">
    <mergeCell ref="A13:C13"/>
    <mergeCell ref="A62:C6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5"/>
  <sheetViews>
    <sheetView topLeftCell="A28" workbookViewId="0">
      <selection sqref="A1:E49"/>
    </sheetView>
  </sheetViews>
  <sheetFormatPr defaultRowHeight="15" x14ac:dyDescent="0.25"/>
  <cols>
    <col min="1" max="1" width="28.140625" customWidth="1"/>
    <col min="2" max="2" width="18.140625" customWidth="1"/>
    <col min="3" max="3" width="15.42578125" customWidth="1"/>
    <col min="4" max="4" width="12.7109375" customWidth="1"/>
    <col min="7" max="7" width="8" customWidth="1"/>
    <col min="8" max="9" width="8.85546875" hidden="1" customWidth="1"/>
  </cols>
  <sheetData>
    <row r="4" spans="1:14" ht="15.75" x14ac:dyDescent="0.25">
      <c r="B4" s="4" t="s">
        <v>4</v>
      </c>
      <c r="C4" s="4"/>
    </row>
    <row r="5" spans="1:14" ht="15.75" x14ac:dyDescent="0.25">
      <c r="B5" s="4" t="s">
        <v>5</v>
      </c>
      <c r="C5" s="4"/>
    </row>
    <row r="6" spans="1:14" x14ac:dyDescent="0.25">
      <c r="A6" s="5" t="s">
        <v>25</v>
      </c>
      <c r="B6" s="5"/>
      <c r="C6" s="5"/>
      <c r="D6" s="5"/>
    </row>
    <row r="7" spans="1:14" x14ac:dyDescent="0.25">
      <c r="A7" s="5"/>
      <c r="B7" s="5" t="s">
        <v>6</v>
      </c>
      <c r="C7" s="5"/>
      <c r="D7" s="5"/>
    </row>
    <row r="8" spans="1:14" x14ac:dyDescent="0.25">
      <c r="A8" s="8" t="s">
        <v>15</v>
      </c>
      <c r="B8" s="8" t="s">
        <v>51</v>
      </c>
      <c r="C8" s="6">
        <v>7</v>
      </c>
    </row>
    <row r="10" spans="1:14" x14ac:dyDescent="0.25">
      <c r="M10">
        <v>404.1</v>
      </c>
      <c r="N10">
        <v>5.91</v>
      </c>
    </row>
    <row r="11" spans="1:14" ht="30" x14ac:dyDescent="0.25">
      <c r="A11" s="1" t="s">
        <v>0</v>
      </c>
      <c r="B11" s="2" t="s">
        <v>1</v>
      </c>
      <c r="C11" s="2" t="s">
        <v>2</v>
      </c>
      <c r="D11" s="2" t="s">
        <v>3</v>
      </c>
      <c r="K11">
        <f>10102.06-180.88-362.7-3760.14</f>
        <v>5798.34</v>
      </c>
      <c r="L11">
        <f>29355-1357.73-2769.43-9865.99</f>
        <v>15361.85</v>
      </c>
      <c r="M11">
        <f>M10*N10*6</f>
        <v>14329.386000000002</v>
      </c>
    </row>
    <row r="12" spans="1:14" x14ac:dyDescent="0.25">
      <c r="A12" s="3" t="s">
        <v>26</v>
      </c>
      <c r="B12" s="1">
        <f>K11</f>
        <v>5798.34</v>
      </c>
      <c r="C12" s="1">
        <f>L11</f>
        <v>15361.85</v>
      </c>
      <c r="D12" s="10">
        <f>M11</f>
        <v>14329.386000000002</v>
      </c>
    </row>
    <row r="13" spans="1:14" x14ac:dyDescent="0.25">
      <c r="A13" s="14" t="s">
        <v>12</v>
      </c>
      <c r="B13" s="15"/>
      <c r="C13" s="16"/>
      <c r="D13" s="10">
        <f>B12-D12</f>
        <v>-8531.0460000000021</v>
      </c>
    </row>
    <row r="15" spans="1:14" x14ac:dyDescent="0.25">
      <c r="A15" s="5" t="s">
        <v>27</v>
      </c>
    </row>
    <row r="17" spans="1:4" x14ac:dyDescent="0.25">
      <c r="A17" s="9" t="s">
        <v>28</v>
      </c>
    </row>
    <row r="18" spans="1:4" x14ac:dyDescent="0.25">
      <c r="A18" s="9" t="s">
        <v>29</v>
      </c>
      <c r="B18" s="9"/>
      <c r="C18" s="9"/>
      <c r="D18" s="9"/>
    </row>
    <row r="19" spans="1:4" x14ac:dyDescent="0.25">
      <c r="A19" s="9" t="s">
        <v>30</v>
      </c>
      <c r="B19" s="9"/>
      <c r="C19" s="9"/>
      <c r="D19" s="9"/>
    </row>
    <row r="20" spans="1:4" x14ac:dyDescent="0.25">
      <c r="A20" s="9" t="s">
        <v>31</v>
      </c>
      <c r="B20" s="9"/>
      <c r="C20" s="9"/>
      <c r="D20" s="9"/>
    </row>
    <row r="21" spans="1:4" x14ac:dyDescent="0.25">
      <c r="A21" s="9" t="s">
        <v>32</v>
      </c>
      <c r="B21" s="9"/>
      <c r="C21" s="9"/>
      <c r="D21" s="9"/>
    </row>
    <row r="22" spans="1:4" x14ac:dyDescent="0.25">
      <c r="A22" s="9" t="s">
        <v>33</v>
      </c>
      <c r="B22" s="9"/>
      <c r="C22" s="9"/>
      <c r="D22" s="9"/>
    </row>
    <row r="23" spans="1:4" x14ac:dyDescent="0.25">
      <c r="A23" s="9" t="s">
        <v>34</v>
      </c>
      <c r="B23" s="9"/>
      <c r="C23" s="9"/>
      <c r="D23" s="9"/>
    </row>
    <row r="24" spans="1:4" x14ac:dyDescent="0.25">
      <c r="A24" s="9" t="s">
        <v>35</v>
      </c>
      <c r="B24" s="9"/>
      <c r="C24" s="9"/>
      <c r="D24" s="9"/>
    </row>
    <row r="25" spans="1:4" x14ac:dyDescent="0.25">
      <c r="A25" s="9" t="s">
        <v>36</v>
      </c>
      <c r="B25" s="9"/>
      <c r="C25" s="9"/>
      <c r="D25" s="9"/>
    </row>
    <row r="26" spans="1:4" x14ac:dyDescent="0.25">
      <c r="A26" s="9" t="s">
        <v>37</v>
      </c>
      <c r="B26" s="9"/>
      <c r="C26" s="9"/>
      <c r="D26" s="9"/>
    </row>
    <row r="27" spans="1:4" x14ac:dyDescent="0.25">
      <c r="A27" s="9" t="s">
        <v>38</v>
      </c>
      <c r="B27" s="9"/>
      <c r="C27" s="9"/>
      <c r="D27" s="9"/>
    </row>
    <row r="28" spans="1:4" x14ac:dyDescent="0.25">
      <c r="A28" s="9" t="s">
        <v>40</v>
      </c>
      <c r="B28" s="9"/>
      <c r="C28" s="9"/>
      <c r="D28" s="9"/>
    </row>
    <row r="29" spans="1:4" x14ac:dyDescent="0.25">
      <c r="A29" s="9" t="s">
        <v>39</v>
      </c>
      <c r="B29" s="9"/>
      <c r="C29" s="9"/>
      <c r="D29" s="9"/>
    </row>
    <row r="30" spans="1:4" x14ac:dyDescent="0.25">
      <c r="A30" s="9"/>
      <c r="B30" s="9"/>
      <c r="C30" s="9"/>
      <c r="D30" s="9"/>
    </row>
    <row r="31" spans="1:4" x14ac:dyDescent="0.25">
      <c r="A31" s="9"/>
      <c r="B31" s="9"/>
      <c r="C31" s="9"/>
      <c r="D31" s="9"/>
    </row>
    <row r="32" spans="1:4" x14ac:dyDescent="0.25">
      <c r="A32" s="9"/>
      <c r="B32" s="9"/>
      <c r="C32" s="9"/>
      <c r="D32" s="9"/>
    </row>
    <row r="33" spans="1:4" x14ac:dyDescent="0.25">
      <c r="A33" s="9"/>
      <c r="B33" s="9"/>
      <c r="C33" s="9"/>
      <c r="D33" s="9"/>
    </row>
    <row r="34" spans="1:4" x14ac:dyDescent="0.25">
      <c r="A34" s="9"/>
      <c r="B34" s="9"/>
      <c r="C34" s="9"/>
      <c r="D34" s="9"/>
    </row>
    <row r="35" spans="1:4" x14ac:dyDescent="0.25">
      <c r="A35" s="9"/>
      <c r="B35" s="9"/>
      <c r="C35" s="9"/>
      <c r="D35" s="9"/>
    </row>
    <row r="36" spans="1:4" x14ac:dyDescent="0.25">
      <c r="A36" s="9"/>
      <c r="B36" s="9"/>
      <c r="C36" s="9"/>
      <c r="D36" s="9"/>
    </row>
    <row r="37" spans="1:4" x14ac:dyDescent="0.25">
      <c r="A37" s="9"/>
      <c r="B37" s="9"/>
      <c r="C37" s="9"/>
      <c r="D37" s="9"/>
    </row>
    <row r="43" spans="1:4" x14ac:dyDescent="0.25">
      <c r="A43" t="s">
        <v>9</v>
      </c>
    </row>
    <row r="45" spans="1:4" x14ac:dyDescent="0.25">
      <c r="A45" t="s">
        <v>10</v>
      </c>
      <c r="B45" t="s">
        <v>11</v>
      </c>
    </row>
  </sheetData>
  <mergeCells count="1">
    <mergeCell ref="A13:C1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39"/>
  <sheetViews>
    <sheetView topLeftCell="A297" workbookViewId="0">
      <selection sqref="A1:E343"/>
    </sheetView>
  </sheetViews>
  <sheetFormatPr defaultRowHeight="15" x14ac:dyDescent="0.25"/>
  <cols>
    <col min="1" max="1" width="27" customWidth="1"/>
    <col min="2" max="2" width="16" customWidth="1"/>
    <col min="3" max="3" width="15.28515625" customWidth="1"/>
    <col min="4" max="4" width="14.42578125" customWidth="1"/>
    <col min="6" max="6" width="6.28515625" customWidth="1"/>
    <col min="7" max="10" width="8.85546875" hidden="1" customWidth="1"/>
  </cols>
  <sheetData>
    <row r="4" spans="1:14" ht="15.75" x14ac:dyDescent="0.25">
      <c r="B4" s="4" t="s">
        <v>4</v>
      </c>
      <c r="C4" s="4"/>
    </row>
    <row r="5" spans="1:14" ht="15.75" x14ac:dyDescent="0.25">
      <c r="B5" s="4" t="s">
        <v>5</v>
      </c>
      <c r="C5" s="4"/>
    </row>
    <row r="6" spans="1:14" x14ac:dyDescent="0.25">
      <c r="A6" s="5" t="s">
        <v>25</v>
      </c>
      <c r="B6" s="5"/>
      <c r="C6" s="5"/>
      <c r="D6" s="5"/>
    </row>
    <row r="7" spans="1:14" x14ac:dyDescent="0.25">
      <c r="A7" s="5"/>
      <c r="B7" s="5" t="s">
        <v>6</v>
      </c>
      <c r="C7" s="5"/>
      <c r="D7" s="5"/>
    </row>
    <row r="8" spans="1:14" x14ac:dyDescent="0.25">
      <c r="A8" s="8" t="s">
        <v>41</v>
      </c>
      <c r="B8" s="8" t="s">
        <v>13</v>
      </c>
      <c r="C8" s="6">
        <v>2</v>
      </c>
    </row>
    <row r="10" spans="1:14" x14ac:dyDescent="0.25">
      <c r="M10">
        <v>659.8</v>
      </c>
      <c r="N10">
        <v>13.09</v>
      </c>
    </row>
    <row r="11" spans="1:14" ht="30" x14ac:dyDescent="0.25">
      <c r="A11" s="1" t="s">
        <v>0</v>
      </c>
      <c r="B11" s="2" t="s">
        <v>1</v>
      </c>
      <c r="C11" s="2" t="s">
        <v>2</v>
      </c>
      <c r="D11" s="2" t="s">
        <v>3</v>
      </c>
      <c r="K11">
        <f>77679.5-8949.09-208.2-2573.4-14127.77</f>
        <v>51821.040000000008</v>
      </c>
      <c r="L11">
        <f>60603.14-6731.6-164.7-2035.75-10676.89</f>
        <v>40994.200000000004</v>
      </c>
      <c r="M11">
        <f>M10*N10*6</f>
        <v>51820.691999999995</v>
      </c>
    </row>
    <row r="12" spans="1:14" x14ac:dyDescent="0.25">
      <c r="A12" s="3" t="s">
        <v>26</v>
      </c>
      <c r="B12" s="1">
        <f>K11</f>
        <v>51821.040000000008</v>
      </c>
      <c r="C12" s="1">
        <f>L11</f>
        <v>40994.200000000004</v>
      </c>
      <c r="D12" s="10">
        <f>M11</f>
        <v>51820.691999999995</v>
      </c>
    </row>
    <row r="13" spans="1:14" x14ac:dyDescent="0.25">
      <c r="A13" s="14" t="s">
        <v>8</v>
      </c>
      <c r="B13" s="15"/>
      <c r="C13" s="16"/>
      <c r="D13" s="10">
        <f>B12-D12</f>
        <v>0.34800000001268927</v>
      </c>
    </row>
    <row r="15" spans="1:14" x14ac:dyDescent="0.25">
      <c r="A15" s="5" t="s">
        <v>27</v>
      </c>
    </row>
    <row r="17" spans="1:4" x14ac:dyDescent="0.25">
      <c r="A17" s="9" t="s">
        <v>28</v>
      </c>
    </row>
    <row r="18" spans="1:4" x14ac:dyDescent="0.25">
      <c r="A18" s="9" t="s">
        <v>29</v>
      </c>
      <c r="B18" s="9"/>
      <c r="C18" s="9"/>
      <c r="D18" s="9"/>
    </row>
    <row r="19" spans="1:4" x14ac:dyDescent="0.25">
      <c r="A19" s="9" t="s">
        <v>30</v>
      </c>
      <c r="B19" s="9"/>
      <c r="C19" s="9"/>
      <c r="D19" s="9"/>
    </row>
    <row r="20" spans="1:4" x14ac:dyDescent="0.25">
      <c r="A20" s="9" t="s">
        <v>31</v>
      </c>
      <c r="B20" s="9"/>
      <c r="C20" s="9"/>
      <c r="D20" s="9"/>
    </row>
    <row r="21" spans="1:4" x14ac:dyDescent="0.25">
      <c r="A21" s="9" t="s">
        <v>32</v>
      </c>
      <c r="B21" s="9"/>
      <c r="C21" s="9"/>
      <c r="D21" s="9"/>
    </row>
    <row r="22" spans="1:4" x14ac:dyDescent="0.25">
      <c r="A22" s="9" t="s">
        <v>33</v>
      </c>
      <c r="B22" s="9"/>
      <c r="C22" s="9"/>
      <c r="D22" s="9"/>
    </row>
    <row r="23" spans="1:4" x14ac:dyDescent="0.25">
      <c r="A23" s="9" t="s">
        <v>34</v>
      </c>
      <c r="B23" s="9"/>
      <c r="C23" s="9"/>
      <c r="D23" s="9"/>
    </row>
    <row r="24" spans="1:4" x14ac:dyDescent="0.25">
      <c r="A24" s="9" t="s">
        <v>35</v>
      </c>
      <c r="B24" s="9"/>
      <c r="C24" s="9"/>
      <c r="D24" s="9"/>
    </row>
    <row r="25" spans="1:4" x14ac:dyDescent="0.25">
      <c r="A25" s="9" t="s">
        <v>36</v>
      </c>
      <c r="B25" s="9"/>
      <c r="C25" s="9"/>
      <c r="D25" s="9"/>
    </row>
    <row r="26" spans="1:4" x14ac:dyDescent="0.25">
      <c r="A26" s="9" t="s">
        <v>37</v>
      </c>
      <c r="B26" s="9"/>
      <c r="C26" s="9"/>
      <c r="D26" s="9"/>
    </row>
    <row r="27" spans="1:4" x14ac:dyDescent="0.25">
      <c r="A27" s="9" t="s">
        <v>38</v>
      </c>
      <c r="B27" s="9"/>
      <c r="C27" s="9"/>
      <c r="D27" s="9"/>
    </row>
    <row r="28" spans="1:4" x14ac:dyDescent="0.25">
      <c r="A28" s="9" t="s">
        <v>40</v>
      </c>
      <c r="B28" s="9"/>
      <c r="C28" s="9"/>
      <c r="D28" s="9"/>
    </row>
    <row r="29" spans="1:4" x14ac:dyDescent="0.25">
      <c r="A29" s="9" t="s">
        <v>39</v>
      </c>
      <c r="B29" s="9"/>
      <c r="C29" s="9"/>
      <c r="D29" s="9"/>
    </row>
    <row r="30" spans="1:4" x14ac:dyDescent="0.25">
      <c r="A30" s="9"/>
      <c r="B30" s="9"/>
      <c r="C30" s="9"/>
      <c r="D30" s="9"/>
    </row>
    <row r="31" spans="1:4" x14ac:dyDescent="0.25">
      <c r="A31" s="9"/>
      <c r="B31" s="9"/>
      <c r="C31" s="9"/>
      <c r="D31" s="9"/>
    </row>
    <row r="32" spans="1:4" x14ac:dyDescent="0.25">
      <c r="A32" s="9"/>
      <c r="B32" s="9"/>
      <c r="C32" s="9"/>
      <c r="D32" s="9"/>
    </row>
    <row r="33" spans="1:14" x14ac:dyDescent="0.25">
      <c r="A33" s="9"/>
      <c r="B33" s="9"/>
      <c r="C33" s="9"/>
      <c r="D33" s="9"/>
    </row>
    <row r="34" spans="1:14" x14ac:dyDescent="0.25">
      <c r="A34" s="9"/>
      <c r="B34" s="9"/>
      <c r="C34" s="9"/>
      <c r="D34" s="9"/>
    </row>
    <row r="35" spans="1:14" x14ac:dyDescent="0.25">
      <c r="A35" s="9"/>
      <c r="B35" s="9"/>
      <c r="C35" s="9"/>
      <c r="D35" s="9"/>
    </row>
    <row r="36" spans="1:14" x14ac:dyDescent="0.25">
      <c r="A36" s="9"/>
      <c r="B36" s="9"/>
      <c r="C36" s="9"/>
      <c r="D36" s="9"/>
    </row>
    <row r="37" spans="1:14" x14ac:dyDescent="0.25">
      <c r="A37" s="9"/>
      <c r="B37" s="9"/>
      <c r="C37" s="9"/>
      <c r="D37" s="9"/>
    </row>
    <row r="43" spans="1:14" x14ac:dyDescent="0.25">
      <c r="A43" t="s">
        <v>9</v>
      </c>
    </row>
    <row r="45" spans="1:14" x14ac:dyDescent="0.25">
      <c r="A45" t="s">
        <v>10</v>
      </c>
      <c r="B45" t="s">
        <v>11</v>
      </c>
    </row>
    <row r="46" spans="1:14" x14ac:dyDescent="0.25">
      <c r="M46">
        <v>92.7</v>
      </c>
      <c r="N46">
        <v>14.14</v>
      </c>
    </row>
    <row r="47" spans="1:14" x14ac:dyDescent="0.25">
      <c r="K47">
        <f>33661.56-20518.2-1189.44-62.82-2013.48-2012.88</f>
        <v>7864.7399999999971</v>
      </c>
      <c r="L47">
        <f>28051.3-17098.5-991.2-52.35-1677.9-1677.4</f>
        <v>6553.9499999999989</v>
      </c>
      <c r="M47">
        <f>M46*N46*6</f>
        <v>7864.6679999999997</v>
      </c>
    </row>
    <row r="53" spans="1:4" ht="15.75" x14ac:dyDescent="0.25">
      <c r="B53" s="4" t="s">
        <v>4</v>
      </c>
      <c r="C53" s="4"/>
    </row>
    <row r="54" spans="1:4" ht="15.75" x14ac:dyDescent="0.25">
      <c r="B54" s="4" t="s">
        <v>5</v>
      </c>
      <c r="C54" s="4"/>
    </row>
    <row r="55" spans="1:4" x14ac:dyDescent="0.25">
      <c r="A55" s="5" t="s">
        <v>25</v>
      </c>
      <c r="B55" s="5"/>
      <c r="C55" s="5"/>
      <c r="D55" s="5"/>
    </row>
    <row r="56" spans="1:4" x14ac:dyDescent="0.25">
      <c r="A56" s="5"/>
      <c r="B56" s="5" t="s">
        <v>6</v>
      </c>
      <c r="C56" s="5"/>
      <c r="D56" s="5"/>
    </row>
    <row r="57" spans="1:4" x14ac:dyDescent="0.25">
      <c r="A57" s="8" t="s">
        <v>41</v>
      </c>
      <c r="B57" s="8" t="s">
        <v>13</v>
      </c>
      <c r="C57" s="6">
        <v>4</v>
      </c>
    </row>
    <row r="60" spans="1:4" ht="30" x14ac:dyDescent="0.25">
      <c r="A60" s="1" t="s">
        <v>0</v>
      </c>
      <c r="B60" s="2" t="s">
        <v>1</v>
      </c>
      <c r="C60" s="2" t="s">
        <v>2</v>
      </c>
      <c r="D60" s="2" t="s">
        <v>3</v>
      </c>
    </row>
    <row r="61" spans="1:4" x14ac:dyDescent="0.25">
      <c r="A61" s="3" t="s">
        <v>26</v>
      </c>
      <c r="B61" s="1">
        <f>K47</f>
        <v>7864.7399999999971</v>
      </c>
      <c r="C61" s="1">
        <f>L47</f>
        <v>6553.9499999999989</v>
      </c>
      <c r="D61" s="10">
        <f>M47</f>
        <v>7864.6679999999997</v>
      </c>
    </row>
    <row r="62" spans="1:4" x14ac:dyDescent="0.25">
      <c r="A62" s="14" t="s">
        <v>8</v>
      </c>
      <c r="B62" s="15"/>
      <c r="C62" s="16"/>
      <c r="D62" s="10">
        <f>B61-D61</f>
        <v>7.1999999997387931E-2</v>
      </c>
    </row>
    <row r="64" spans="1:4" x14ac:dyDescent="0.25">
      <c r="A64" s="5" t="s">
        <v>27</v>
      </c>
    </row>
    <row r="66" spans="1:4" x14ac:dyDescent="0.25">
      <c r="A66" s="9" t="s">
        <v>28</v>
      </c>
    </row>
    <row r="67" spans="1:4" x14ac:dyDescent="0.25">
      <c r="A67" s="9" t="s">
        <v>29</v>
      </c>
      <c r="B67" s="9"/>
      <c r="C67" s="9"/>
      <c r="D67" s="9"/>
    </row>
    <row r="68" spans="1:4" x14ac:dyDescent="0.25">
      <c r="A68" s="9" t="s">
        <v>30</v>
      </c>
      <c r="B68" s="9"/>
      <c r="C68" s="9"/>
      <c r="D68" s="9"/>
    </row>
    <row r="69" spans="1:4" x14ac:dyDescent="0.25">
      <c r="A69" s="9" t="s">
        <v>31</v>
      </c>
      <c r="B69" s="9"/>
      <c r="C69" s="9"/>
      <c r="D69" s="9"/>
    </row>
    <row r="70" spans="1:4" x14ac:dyDescent="0.25">
      <c r="A70" s="9" t="s">
        <v>32</v>
      </c>
      <c r="B70" s="9"/>
      <c r="C70" s="9"/>
      <c r="D70" s="9"/>
    </row>
    <row r="71" spans="1:4" x14ac:dyDescent="0.25">
      <c r="A71" s="9" t="s">
        <v>33</v>
      </c>
      <c r="B71" s="9"/>
      <c r="C71" s="9"/>
      <c r="D71" s="9"/>
    </row>
    <row r="72" spans="1:4" x14ac:dyDescent="0.25">
      <c r="A72" s="9" t="s">
        <v>34</v>
      </c>
      <c r="B72" s="9"/>
      <c r="C72" s="9"/>
      <c r="D72" s="9"/>
    </row>
    <row r="73" spans="1:4" x14ac:dyDescent="0.25">
      <c r="A73" s="9" t="s">
        <v>35</v>
      </c>
      <c r="B73" s="9"/>
      <c r="C73" s="9"/>
      <c r="D73" s="9"/>
    </row>
    <row r="74" spans="1:4" x14ac:dyDescent="0.25">
      <c r="A74" s="9" t="s">
        <v>36</v>
      </c>
      <c r="B74" s="9"/>
      <c r="C74" s="9"/>
      <c r="D74" s="9"/>
    </row>
    <row r="75" spans="1:4" x14ac:dyDescent="0.25">
      <c r="A75" s="9" t="s">
        <v>37</v>
      </c>
      <c r="B75" s="9"/>
      <c r="C75" s="9"/>
      <c r="D75" s="9"/>
    </row>
    <row r="76" spans="1:4" x14ac:dyDescent="0.25">
      <c r="A76" s="9" t="s">
        <v>38</v>
      </c>
      <c r="B76" s="9"/>
      <c r="C76" s="9"/>
      <c r="D76" s="9"/>
    </row>
    <row r="77" spans="1:4" x14ac:dyDescent="0.25">
      <c r="A77" s="9" t="s">
        <v>40</v>
      </c>
      <c r="B77" s="9"/>
      <c r="C77" s="9"/>
      <c r="D77" s="9"/>
    </row>
    <row r="78" spans="1:4" x14ac:dyDescent="0.25">
      <c r="A78" s="9" t="s">
        <v>39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14" x14ac:dyDescent="0.25">
      <c r="A81" s="9"/>
      <c r="B81" s="9"/>
      <c r="C81" s="9"/>
      <c r="D81" s="9"/>
      <c r="M81">
        <v>385.5</v>
      </c>
      <c r="N81">
        <v>14.14</v>
      </c>
    </row>
    <row r="82" spans="1:14" x14ac:dyDescent="0.25">
      <c r="A82" s="9"/>
      <c r="B82" s="9"/>
      <c r="C82" s="9"/>
      <c r="D82" s="9"/>
      <c r="K82">
        <f>138772.25-85326.66-5031.17-93.06-7100.94-8514.24</f>
        <v>32706.18</v>
      </c>
      <c r="L82">
        <f>113557.55-69504.52-740.59-17.26-5784.21-7260.97</f>
        <v>30250</v>
      </c>
      <c r="M82">
        <f>M81*N81*6</f>
        <v>32705.82</v>
      </c>
    </row>
    <row r="83" spans="1:14" x14ac:dyDescent="0.25">
      <c r="A83" s="9"/>
      <c r="B83" s="9"/>
      <c r="C83" s="9"/>
      <c r="D83" s="9"/>
    </row>
    <row r="84" spans="1:14" x14ac:dyDescent="0.25">
      <c r="A84" s="9"/>
      <c r="B84" s="9"/>
      <c r="C84" s="9"/>
      <c r="D84" s="9"/>
    </row>
    <row r="85" spans="1:14" x14ac:dyDescent="0.25">
      <c r="A85" s="9"/>
      <c r="B85" s="9"/>
      <c r="C85" s="9"/>
      <c r="D85" s="9"/>
    </row>
    <row r="86" spans="1:14" x14ac:dyDescent="0.25">
      <c r="A86" s="9"/>
      <c r="B86" s="9"/>
      <c r="C86" s="9"/>
      <c r="D86" s="9"/>
    </row>
    <row r="92" spans="1:14" x14ac:dyDescent="0.25">
      <c r="A92" t="s">
        <v>9</v>
      </c>
    </row>
    <row r="94" spans="1:14" x14ac:dyDescent="0.25">
      <c r="A94" t="s">
        <v>10</v>
      </c>
      <c r="B94" t="s">
        <v>11</v>
      </c>
    </row>
    <row r="102" spans="1:4" ht="15.75" x14ac:dyDescent="0.25">
      <c r="B102" s="4" t="s">
        <v>4</v>
      </c>
      <c r="C102" s="4"/>
    </row>
    <row r="103" spans="1:4" ht="15.75" x14ac:dyDescent="0.25">
      <c r="B103" s="4" t="s">
        <v>5</v>
      </c>
      <c r="C103" s="4"/>
    </row>
    <row r="104" spans="1:4" x14ac:dyDescent="0.25">
      <c r="A104" s="5" t="s">
        <v>25</v>
      </c>
      <c r="B104" s="5"/>
      <c r="C104" s="5"/>
      <c r="D104" s="5"/>
    </row>
    <row r="105" spans="1:4" x14ac:dyDescent="0.25">
      <c r="A105" s="5"/>
      <c r="B105" s="5" t="s">
        <v>6</v>
      </c>
      <c r="C105" s="5"/>
      <c r="D105" s="5"/>
    </row>
    <row r="106" spans="1:4" x14ac:dyDescent="0.25">
      <c r="A106" s="8" t="s">
        <v>41</v>
      </c>
      <c r="B106" s="8" t="s">
        <v>13</v>
      </c>
      <c r="C106" s="6">
        <v>7</v>
      </c>
    </row>
    <row r="109" spans="1:4" ht="30" x14ac:dyDescent="0.25">
      <c r="A109" s="1" t="s">
        <v>0</v>
      </c>
      <c r="B109" s="2" t="s">
        <v>1</v>
      </c>
      <c r="C109" s="2" t="s">
        <v>2</v>
      </c>
      <c r="D109" s="2" t="s">
        <v>3</v>
      </c>
    </row>
    <row r="110" spans="1:4" x14ac:dyDescent="0.25">
      <c r="A110" s="3" t="s">
        <v>26</v>
      </c>
      <c r="B110" s="1">
        <f>K82</f>
        <v>32706.18</v>
      </c>
      <c r="C110" s="1">
        <f>L82</f>
        <v>30250</v>
      </c>
      <c r="D110" s="10">
        <f>M82</f>
        <v>32705.82</v>
      </c>
    </row>
    <row r="111" spans="1:4" x14ac:dyDescent="0.25">
      <c r="A111" s="14" t="s">
        <v>8</v>
      </c>
      <c r="B111" s="15"/>
      <c r="C111" s="16"/>
      <c r="D111" s="10">
        <f>B110-D110</f>
        <v>0.36000000000058208</v>
      </c>
    </row>
    <row r="113" spans="1:14" x14ac:dyDescent="0.25">
      <c r="A113" s="5" t="s">
        <v>27</v>
      </c>
    </row>
    <row r="115" spans="1:14" x14ac:dyDescent="0.25">
      <c r="A115" s="9" t="s">
        <v>28</v>
      </c>
    </row>
    <row r="116" spans="1:14" x14ac:dyDescent="0.25">
      <c r="A116" s="9" t="s">
        <v>29</v>
      </c>
      <c r="B116" s="9"/>
      <c r="C116" s="9"/>
      <c r="D116" s="9"/>
    </row>
    <row r="117" spans="1:14" x14ac:dyDescent="0.25">
      <c r="A117" s="9" t="s">
        <v>30</v>
      </c>
      <c r="B117" s="9"/>
      <c r="C117" s="9"/>
      <c r="D117" s="9"/>
      <c r="M117">
        <v>532</v>
      </c>
      <c r="N117">
        <v>14.14</v>
      </c>
    </row>
    <row r="118" spans="1:14" x14ac:dyDescent="0.25">
      <c r="A118" s="9" t="s">
        <v>31</v>
      </c>
      <c r="B118" s="9"/>
      <c r="C118" s="9"/>
      <c r="D118" s="9"/>
      <c r="K118">
        <f>199131.69-117752.82-8872.86-129.9-12225.36-15015.45</f>
        <v>45135.3</v>
      </c>
      <c r="L118">
        <f>142106.26-83407.66+6677.01-92-8659.6-11299.44</f>
        <v>45324.570000000007</v>
      </c>
      <c r="M118">
        <f>M117*N117*6</f>
        <v>45134.880000000005</v>
      </c>
    </row>
    <row r="119" spans="1:14" x14ac:dyDescent="0.25">
      <c r="A119" s="9" t="s">
        <v>32</v>
      </c>
      <c r="B119" s="9"/>
      <c r="C119" s="9"/>
      <c r="D119" s="9"/>
    </row>
    <row r="120" spans="1:14" x14ac:dyDescent="0.25">
      <c r="A120" s="9" t="s">
        <v>33</v>
      </c>
      <c r="B120" s="9"/>
      <c r="C120" s="9"/>
      <c r="D120" s="9"/>
    </row>
    <row r="121" spans="1:14" x14ac:dyDescent="0.25">
      <c r="A121" s="9" t="s">
        <v>34</v>
      </c>
      <c r="B121" s="9"/>
      <c r="C121" s="9"/>
      <c r="D121" s="9"/>
    </row>
    <row r="122" spans="1:14" x14ac:dyDescent="0.25">
      <c r="A122" s="9" t="s">
        <v>35</v>
      </c>
      <c r="B122" s="9"/>
      <c r="C122" s="9"/>
      <c r="D122" s="9"/>
    </row>
    <row r="123" spans="1:14" x14ac:dyDescent="0.25">
      <c r="A123" s="9" t="s">
        <v>36</v>
      </c>
      <c r="B123" s="9"/>
      <c r="C123" s="9"/>
      <c r="D123" s="9"/>
    </row>
    <row r="124" spans="1:14" x14ac:dyDescent="0.25">
      <c r="A124" s="9" t="s">
        <v>37</v>
      </c>
      <c r="B124" s="9"/>
      <c r="C124" s="9"/>
      <c r="D124" s="9"/>
    </row>
    <row r="125" spans="1:14" x14ac:dyDescent="0.25">
      <c r="A125" s="9" t="s">
        <v>38</v>
      </c>
      <c r="B125" s="9"/>
      <c r="C125" s="9"/>
      <c r="D125" s="9"/>
    </row>
    <row r="126" spans="1:14" x14ac:dyDescent="0.25">
      <c r="A126" s="9" t="s">
        <v>40</v>
      </c>
      <c r="B126" s="9"/>
      <c r="C126" s="9"/>
      <c r="D126" s="9"/>
    </row>
    <row r="127" spans="1:14" x14ac:dyDescent="0.25">
      <c r="A127" s="9" t="s">
        <v>39</v>
      </c>
      <c r="B127" s="9"/>
      <c r="C127" s="9"/>
      <c r="D127" s="9"/>
    </row>
    <row r="128" spans="1:14" x14ac:dyDescent="0.25">
      <c r="A128" s="9"/>
      <c r="B128" s="9"/>
      <c r="C128" s="9"/>
      <c r="D128" s="9"/>
    </row>
    <row r="129" spans="1:4" x14ac:dyDescent="0.25">
      <c r="A129" s="9"/>
      <c r="B129" s="9"/>
      <c r="C129" s="9"/>
      <c r="D129" s="9"/>
    </row>
    <row r="130" spans="1:4" x14ac:dyDescent="0.25">
      <c r="A130" s="9"/>
      <c r="B130" s="9"/>
      <c r="C130" s="9"/>
      <c r="D130" s="9"/>
    </row>
    <row r="131" spans="1:4" x14ac:dyDescent="0.25">
      <c r="A131" s="9"/>
      <c r="B131" s="9"/>
      <c r="C131" s="9"/>
      <c r="D131" s="9"/>
    </row>
    <row r="132" spans="1:4" x14ac:dyDescent="0.25">
      <c r="A132" s="9"/>
      <c r="B132" s="9"/>
      <c r="C132" s="9"/>
      <c r="D132" s="9"/>
    </row>
    <row r="133" spans="1:4" x14ac:dyDescent="0.25">
      <c r="A133" s="9"/>
      <c r="B133" s="9"/>
      <c r="C133" s="9"/>
      <c r="D133" s="9"/>
    </row>
    <row r="134" spans="1:4" x14ac:dyDescent="0.25">
      <c r="A134" s="9"/>
      <c r="B134" s="9"/>
      <c r="C134" s="9"/>
      <c r="D134" s="9"/>
    </row>
    <row r="135" spans="1:4" x14ac:dyDescent="0.25">
      <c r="A135" s="9"/>
      <c r="B135" s="9"/>
      <c r="C135" s="9"/>
      <c r="D135" s="9"/>
    </row>
    <row r="141" spans="1:4" x14ac:dyDescent="0.25">
      <c r="A141" t="s">
        <v>9</v>
      </c>
    </row>
    <row r="143" spans="1:4" x14ac:dyDescent="0.25">
      <c r="A143" t="s">
        <v>10</v>
      </c>
      <c r="B143" t="s">
        <v>11</v>
      </c>
    </row>
    <row r="151" spans="1:14" ht="15.75" x14ac:dyDescent="0.25">
      <c r="B151" s="4" t="s">
        <v>4</v>
      </c>
      <c r="C151" s="4"/>
    </row>
    <row r="152" spans="1:14" ht="15.75" x14ac:dyDescent="0.25">
      <c r="B152" s="4" t="s">
        <v>5</v>
      </c>
      <c r="C152" s="4"/>
    </row>
    <row r="153" spans="1:14" x14ac:dyDescent="0.25">
      <c r="A153" s="5" t="s">
        <v>25</v>
      </c>
      <c r="B153" s="5"/>
      <c r="C153" s="5"/>
      <c r="D153" s="5"/>
      <c r="M153">
        <v>473.63</v>
      </c>
      <c r="N153">
        <v>14.14</v>
      </c>
    </row>
    <row r="154" spans="1:14" x14ac:dyDescent="0.25">
      <c r="A154" s="5"/>
      <c r="B154" s="5" t="s">
        <v>6</v>
      </c>
      <c r="C154" s="5"/>
      <c r="D154" s="5"/>
      <c r="K154">
        <f>168195.61-104833.2-5302.92-178.2-8974.09-8724.3</f>
        <v>40182.899999999994</v>
      </c>
      <c r="L154">
        <f>115924.45-72922.44-3290.13-123.95-6068.66-5567.9</f>
        <v>27951.370000000003</v>
      </c>
      <c r="M154">
        <f>M153*N153*6</f>
        <v>40182.769200000002</v>
      </c>
    </row>
    <row r="155" spans="1:14" x14ac:dyDescent="0.25">
      <c r="A155" s="8" t="s">
        <v>41</v>
      </c>
      <c r="B155" s="8" t="s">
        <v>13</v>
      </c>
      <c r="C155" s="6" t="s">
        <v>14</v>
      </c>
    </row>
    <row r="158" spans="1:14" ht="30" x14ac:dyDescent="0.25">
      <c r="A158" s="1" t="s">
        <v>0</v>
      </c>
      <c r="B158" s="2" t="s">
        <v>1</v>
      </c>
      <c r="C158" s="2" t="s">
        <v>2</v>
      </c>
      <c r="D158" s="2" t="s">
        <v>3</v>
      </c>
    </row>
    <row r="159" spans="1:14" x14ac:dyDescent="0.25">
      <c r="A159" s="3" t="s">
        <v>26</v>
      </c>
      <c r="B159" s="1">
        <f>K118</f>
        <v>45135.3</v>
      </c>
      <c r="C159" s="1">
        <f>L118</f>
        <v>45324.570000000007</v>
      </c>
      <c r="D159" s="10">
        <f>M118</f>
        <v>45134.880000000005</v>
      </c>
    </row>
    <row r="160" spans="1:14" x14ac:dyDescent="0.25">
      <c r="A160" s="14" t="s">
        <v>8</v>
      </c>
      <c r="B160" s="15"/>
      <c r="C160" s="16"/>
      <c r="D160" s="10">
        <f>B159-D159</f>
        <v>0.41999999999825377</v>
      </c>
    </row>
    <row r="162" spans="1:4" x14ac:dyDescent="0.25">
      <c r="A162" s="5" t="s">
        <v>27</v>
      </c>
    </row>
    <row r="164" spans="1:4" x14ac:dyDescent="0.25">
      <c r="A164" s="9" t="s">
        <v>28</v>
      </c>
    </row>
    <row r="165" spans="1:4" x14ac:dyDescent="0.25">
      <c r="A165" s="9" t="s">
        <v>29</v>
      </c>
      <c r="B165" s="9"/>
      <c r="C165" s="9"/>
      <c r="D165" s="9"/>
    </row>
    <row r="166" spans="1:4" x14ac:dyDescent="0.25">
      <c r="A166" s="9" t="s">
        <v>30</v>
      </c>
      <c r="B166" s="9"/>
      <c r="C166" s="9"/>
      <c r="D166" s="9"/>
    </row>
    <row r="167" spans="1:4" x14ac:dyDescent="0.25">
      <c r="A167" s="9" t="s">
        <v>31</v>
      </c>
      <c r="B167" s="9"/>
      <c r="C167" s="9"/>
      <c r="D167" s="9"/>
    </row>
    <row r="168" spans="1:4" x14ac:dyDescent="0.25">
      <c r="A168" s="9" t="s">
        <v>32</v>
      </c>
      <c r="B168" s="9"/>
      <c r="C168" s="9"/>
      <c r="D168" s="9"/>
    </row>
    <row r="169" spans="1:4" x14ac:dyDescent="0.25">
      <c r="A169" s="9" t="s">
        <v>33</v>
      </c>
      <c r="B169" s="9"/>
      <c r="C169" s="9"/>
      <c r="D169" s="9"/>
    </row>
    <row r="170" spans="1:4" x14ac:dyDescent="0.25">
      <c r="A170" s="9" t="s">
        <v>34</v>
      </c>
      <c r="B170" s="9"/>
      <c r="C170" s="9"/>
      <c r="D170" s="9"/>
    </row>
    <row r="171" spans="1:4" x14ac:dyDescent="0.25">
      <c r="A171" s="9" t="s">
        <v>35</v>
      </c>
      <c r="B171" s="9"/>
      <c r="C171" s="9"/>
      <c r="D171" s="9"/>
    </row>
    <row r="172" spans="1:4" x14ac:dyDescent="0.25">
      <c r="A172" s="9" t="s">
        <v>36</v>
      </c>
      <c r="B172" s="9"/>
      <c r="C172" s="9"/>
      <c r="D172" s="9"/>
    </row>
    <row r="173" spans="1:4" x14ac:dyDescent="0.25">
      <c r="A173" s="9" t="s">
        <v>37</v>
      </c>
      <c r="B173" s="9"/>
      <c r="C173" s="9"/>
      <c r="D173" s="9"/>
    </row>
    <row r="174" spans="1:4" x14ac:dyDescent="0.25">
      <c r="A174" s="9" t="s">
        <v>38</v>
      </c>
      <c r="B174" s="9"/>
      <c r="C174" s="9"/>
      <c r="D174" s="9"/>
    </row>
    <row r="175" spans="1:4" x14ac:dyDescent="0.25">
      <c r="A175" s="9" t="s">
        <v>40</v>
      </c>
      <c r="B175" s="9"/>
      <c r="C175" s="9"/>
      <c r="D175" s="9"/>
    </row>
    <row r="176" spans="1:4" x14ac:dyDescent="0.25">
      <c r="A176" s="9" t="s">
        <v>39</v>
      </c>
      <c r="B176" s="9"/>
      <c r="C176" s="9"/>
      <c r="D176" s="9"/>
    </row>
    <row r="177" spans="1:14" x14ac:dyDescent="0.25">
      <c r="A177" s="9"/>
      <c r="B177" s="9"/>
      <c r="C177" s="9"/>
      <c r="D177" s="9"/>
    </row>
    <row r="178" spans="1:14" x14ac:dyDescent="0.25">
      <c r="A178" s="9"/>
      <c r="B178" s="9"/>
      <c r="C178" s="9"/>
      <c r="D178" s="9"/>
    </row>
    <row r="179" spans="1:14" x14ac:dyDescent="0.25">
      <c r="A179" s="9"/>
      <c r="B179" s="9"/>
      <c r="C179" s="9"/>
      <c r="D179" s="9"/>
    </row>
    <row r="180" spans="1:14" x14ac:dyDescent="0.25">
      <c r="A180" s="9"/>
      <c r="B180" s="9"/>
      <c r="C180" s="9"/>
      <c r="D180" s="9"/>
    </row>
    <row r="181" spans="1:14" x14ac:dyDescent="0.25">
      <c r="A181" s="9"/>
      <c r="B181" s="9"/>
      <c r="C181" s="9"/>
      <c r="D181" s="9"/>
    </row>
    <row r="182" spans="1:14" x14ac:dyDescent="0.25">
      <c r="A182" s="9"/>
      <c r="B182" s="9"/>
      <c r="C182" s="9"/>
      <c r="D182" s="9"/>
    </row>
    <row r="183" spans="1:14" x14ac:dyDescent="0.25">
      <c r="A183" s="9"/>
      <c r="B183" s="9"/>
      <c r="C183" s="9"/>
      <c r="D183" s="9"/>
    </row>
    <row r="184" spans="1:14" x14ac:dyDescent="0.25">
      <c r="A184" s="9"/>
      <c r="B184" s="9"/>
      <c r="C184" s="9"/>
      <c r="D184" s="9"/>
    </row>
    <row r="188" spans="1:14" x14ac:dyDescent="0.25">
      <c r="M188">
        <v>683</v>
      </c>
      <c r="N188">
        <v>14.14</v>
      </c>
    </row>
    <row r="189" spans="1:14" x14ac:dyDescent="0.25">
      <c r="K189">
        <f>272681.91-140019.66-20281.53-159.18-16603.14-34321.2</f>
        <v>61297.199999999983</v>
      </c>
      <c r="L189">
        <f>158182.81-79064.4-13367.16-88-9173.82-22620.54</f>
        <v>33868.89</v>
      </c>
      <c r="M189">
        <f>M188*N188*6</f>
        <v>57945.72</v>
      </c>
    </row>
    <row r="190" spans="1:14" x14ac:dyDescent="0.25">
      <c r="A190" t="s">
        <v>9</v>
      </c>
    </row>
    <row r="192" spans="1:14" x14ac:dyDescent="0.25">
      <c r="A192" t="s">
        <v>10</v>
      </c>
      <c r="B192" t="s">
        <v>11</v>
      </c>
    </row>
    <row r="200" spans="1:4" ht="15.75" x14ac:dyDescent="0.25">
      <c r="B200" s="4" t="s">
        <v>4</v>
      </c>
      <c r="C200" s="4"/>
    </row>
    <row r="201" spans="1:4" ht="15.75" x14ac:dyDescent="0.25">
      <c r="B201" s="4" t="s">
        <v>5</v>
      </c>
      <c r="C201" s="4"/>
    </row>
    <row r="202" spans="1:4" x14ac:dyDescent="0.25">
      <c r="A202" s="5" t="s">
        <v>25</v>
      </c>
      <c r="B202" s="5"/>
      <c r="C202" s="5"/>
      <c r="D202" s="5"/>
    </row>
    <row r="203" spans="1:4" x14ac:dyDescent="0.25">
      <c r="A203" s="5"/>
      <c r="B203" s="5" t="s">
        <v>6</v>
      </c>
      <c r="C203" s="5"/>
      <c r="D203" s="5"/>
    </row>
    <row r="204" spans="1:4" x14ac:dyDescent="0.25">
      <c r="A204" s="8" t="s">
        <v>41</v>
      </c>
      <c r="B204" s="8" t="s">
        <v>13</v>
      </c>
      <c r="C204" s="6">
        <v>11</v>
      </c>
    </row>
    <row r="207" spans="1:4" ht="30" x14ac:dyDescent="0.25">
      <c r="A207" s="1" t="s">
        <v>0</v>
      </c>
      <c r="B207" s="2" t="s">
        <v>1</v>
      </c>
      <c r="C207" s="2" t="s">
        <v>2</v>
      </c>
      <c r="D207" s="2" t="s">
        <v>3</v>
      </c>
    </row>
    <row r="208" spans="1:4" x14ac:dyDescent="0.25">
      <c r="A208" s="3" t="s">
        <v>26</v>
      </c>
      <c r="B208" s="1">
        <f>K154</f>
        <v>40182.899999999994</v>
      </c>
      <c r="C208" s="1">
        <f>L154</f>
        <v>27951.370000000003</v>
      </c>
      <c r="D208" s="10">
        <f>M154</f>
        <v>40182.769200000002</v>
      </c>
    </row>
    <row r="209" spans="1:14" x14ac:dyDescent="0.25">
      <c r="A209" s="14" t="s">
        <v>8</v>
      </c>
      <c r="B209" s="15"/>
      <c r="C209" s="16"/>
      <c r="D209" s="10">
        <f>B208-D208</f>
        <v>0.13079999999172287</v>
      </c>
    </row>
    <row r="211" spans="1:14" x14ac:dyDescent="0.25">
      <c r="A211" s="5" t="s">
        <v>27</v>
      </c>
    </row>
    <row r="213" spans="1:14" x14ac:dyDescent="0.25">
      <c r="A213" s="9" t="s">
        <v>28</v>
      </c>
    </row>
    <row r="214" spans="1:14" x14ac:dyDescent="0.25">
      <c r="A214" s="9" t="s">
        <v>29</v>
      </c>
      <c r="B214" s="9"/>
      <c r="C214" s="9"/>
      <c r="D214" s="9"/>
    </row>
    <row r="215" spans="1:14" x14ac:dyDescent="0.25">
      <c r="A215" s="9" t="s">
        <v>30</v>
      </c>
      <c r="B215" s="9"/>
      <c r="C215" s="9"/>
      <c r="D215" s="9"/>
    </row>
    <row r="216" spans="1:14" x14ac:dyDescent="0.25">
      <c r="A216" s="9" t="s">
        <v>31</v>
      </c>
      <c r="B216" s="9"/>
      <c r="C216" s="9"/>
      <c r="D216" s="9"/>
    </row>
    <row r="217" spans="1:14" x14ac:dyDescent="0.25">
      <c r="A217" s="9" t="s">
        <v>32</v>
      </c>
      <c r="B217" s="9"/>
      <c r="C217" s="9"/>
      <c r="D217" s="9"/>
    </row>
    <row r="218" spans="1:14" x14ac:dyDescent="0.25">
      <c r="A218" s="9" t="s">
        <v>33</v>
      </c>
      <c r="B218" s="9"/>
      <c r="C218" s="9"/>
      <c r="D218" s="9"/>
    </row>
    <row r="219" spans="1:14" x14ac:dyDescent="0.25">
      <c r="A219" s="9" t="s">
        <v>34</v>
      </c>
      <c r="B219" s="9"/>
      <c r="C219" s="9"/>
      <c r="D219" s="9"/>
    </row>
    <row r="220" spans="1:14" x14ac:dyDescent="0.25">
      <c r="A220" s="9" t="s">
        <v>35</v>
      </c>
      <c r="B220" s="9"/>
      <c r="C220" s="9"/>
      <c r="D220" s="9"/>
    </row>
    <row r="221" spans="1:14" x14ac:dyDescent="0.25">
      <c r="A221" s="9" t="s">
        <v>36</v>
      </c>
      <c r="B221" s="9"/>
      <c r="C221" s="9"/>
      <c r="D221" s="9"/>
    </row>
    <row r="222" spans="1:14" x14ac:dyDescent="0.25">
      <c r="A222" s="9" t="s">
        <v>37</v>
      </c>
      <c r="B222" s="9"/>
      <c r="C222" s="9"/>
      <c r="D222" s="9"/>
    </row>
    <row r="223" spans="1:14" x14ac:dyDescent="0.25">
      <c r="A223" s="9" t="s">
        <v>38</v>
      </c>
      <c r="B223" s="9"/>
      <c r="C223" s="9"/>
      <c r="D223" s="9"/>
    </row>
    <row r="224" spans="1:14" x14ac:dyDescent="0.25">
      <c r="A224" s="9" t="s">
        <v>40</v>
      </c>
      <c r="B224" s="9"/>
      <c r="C224" s="9"/>
      <c r="D224" s="9"/>
      <c r="M224">
        <v>367.8</v>
      </c>
      <c r="N224">
        <v>14.14</v>
      </c>
    </row>
    <row r="225" spans="1:13" x14ac:dyDescent="0.25">
      <c r="A225" s="9" t="s">
        <v>39</v>
      </c>
      <c r="B225" s="9"/>
      <c r="C225" s="9"/>
      <c r="D225" s="9"/>
      <c r="K225">
        <f>133998.98-81409.02-4758.88-120.9-8452.14-8053.3</f>
        <v>31204.740000000009</v>
      </c>
      <c r="L225">
        <f>111596.53-67785.13-3970.79-100.67-7037.67-6719.68</f>
        <v>25982.589999999997</v>
      </c>
      <c r="M225">
        <f>M224*N224*6</f>
        <v>31204.152000000002</v>
      </c>
    </row>
    <row r="226" spans="1:13" x14ac:dyDescent="0.25">
      <c r="A226" s="9"/>
      <c r="B226" s="9"/>
      <c r="C226" s="9"/>
      <c r="D226" s="9"/>
    </row>
    <row r="227" spans="1:13" x14ac:dyDescent="0.25">
      <c r="A227" s="9"/>
      <c r="B227" s="9"/>
      <c r="C227" s="9"/>
      <c r="D227" s="9"/>
    </row>
    <row r="228" spans="1:13" x14ac:dyDescent="0.25">
      <c r="A228" s="9"/>
      <c r="B228" s="9"/>
      <c r="C228" s="9"/>
      <c r="D228" s="9"/>
    </row>
    <row r="229" spans="1:13" x14ac:dyDescent="0.25">
      <c r="A229" s="9"/>
      <c r="B229" s="9"/>
      <c r="C229" s="9"/>
      <c r="D229" s="9"/>
    </row>
    <row r="230" spans="1:13" x14ac:dyDescent="0.25">
      <c r="A230" s="9"/>
      <c r="B230" s="9"/>
      <c r="C230" s="9"/>
      <c r="D230" s="9"/>
    </row>
    <row r="231" spans="1:13" x14ac:dyDescent="0.25">
      <c r="A231" s="9"/>
      <c r="B231" s="9"/>
      <c r="C231" s="9"/>
      <c r="D231" s="9"/>
    </row>
    <row r="232" spans="1:13" x14ac:dyDescent="0.25">
      <c r="A232" s="9"/>
      <c r="B232" s="9"/>
      <c r="C232" s="9"/>
      <c r="D232" s="9"/>
    </row>
    <row r="233" spans="1:13" x14ac:dyDescent="0.25">
      <c r="A233" s="9"/>
      <c r="B233" s="9"/>
      <c r="C233" s="9"/>
      <c r="D233" s="9"/>
    </row>
    <row r="239" spans="1:13" x14ac:dyDescent="0.25">
      <c r="A239" t="s">
        <v>9</v>
      </c>
    </row>
    <row r="241" spans="1:4" x14ac:dyDescent="0.25">
      <c r="A241" t="s">
        <v>10</v>
      </c>
      <c r="B241" t="s">
        <v>11</v>
      </c>
    </row>
    <row r="249" spans="1:4" ht="15.75" x14ac:dyDescent="0.25">
      <c r="B249" s="4" t="s">
        <v>4</v>
      </c>
      <c r="C249" s="4"/>
    </row>
    <row r="250" spans="1:4" ht="15.75" x14ac:dyDescent="0.25">
      <c r="B250" s="4" t="s">
        <v>5</v>
      </c>
      <c r="C250" s="4"/>
    </row>
    <row r="251" spans="1:4" x14ac:dyDescent="0.25">
      <c r="A251" s="5" t="s">
        <v>25</v>
      </c>
      <c r="B251" s="5"/>
      <c r="C251" s="5"/>
      <c r="D251" s="5"/>
    </row>
    <row r="252" spans="1:4" x14ac:dyDescent="0.25">
      <c r="A252" s="5"/>
      <c r="B252" s="5" t="s">
        <v>6</v>
      </c>
      <c r="C252" s="5"/>
      <c r="D252" s="5"/>
    </row>
    <row r="253" spans="1:4" x14ac:dyDescent="0.25">
      <c r="A253" s="8" t="s">
        <v>41</v>
      </c>
      <c r="B253" s="8" t="s">
        <v>13</v>
      </c>
      <c r="C253" s="6">
        <v>13</v>
      </c>
    </row>
    <row r="256" spans="1:4" ht="30" x14ac:dyDescent="0.25">
      <c r="A256" s="1" t="s">
        <v>0</v>
      </c>
      <c r="B256" s="2" t="s">
        <v>1</v>
      </c>
      <c r="C256" s="2" t="s">
        <v>2</v>
      </c>
      <c r="D256" s="2" t="s">
        <v>3</v>
      </c>
    </row>
    <row r="257" spans="1:4" x14ac:dyDescent="0.25">
      <c r="A257" s="3" t="s">
        <v>26</v>
      </c>
      <c r="B257" s="1">
        <f>K189</f>
        <v>61297.199999999983</v>
      </c>
      <c r="C257" s="1">
        <f>L189</f>
        <v>33868.89</v>
      </c>
      <c r="D257" s="10">
        <f>M189</f>
        <v>57945.72</v>
      </c>
    </row>
    <row r="258" spans="1:4" x14ac:dyDescent="0.25">
      <c r="A258" s="14" t="s">
        <v>8</v>
      </c>
      <c r="B258" s="15"/>
      <c r="C258" s="16"/>
      <c r="D258" s="10">
        <f>B257-D257</f>
        <v>3351.4799999999814</v>
      </c>
    </row>
    <row r="260" spans="1:4" x14ac:dyDescent="0.25">
      <c r="A260" s="5" t="s">
        <v>27</v>
      </c>
    </row>
    <row r="262" spans="1:4" x14ac:dyDescent="0.25">
      <c r="A262" s="9" t="s">
        <v>28</v>
      </c>
    </row>
    <row r="263" spans="1:4" x14ac:dyDescent="0.25">
      <c r="A263" s="9" t="s">
        <v>29</v>
      </c>
      <c r="B263" s="9"/>
      <c r="C263" s="9"/>
      <c r="D263" s="9"/>
    </row>
    <row r="264" spans="1:4" x14ac:dyDescent="0.25">
      <c r="A264" s="9" t="s">
        <v>30</v>
      </c>
      <c r="B264" s="9"/>
      <c r="C264" s="9"/>
      <c r="D264" s="9"/>
    </row>
    <row r="265" spans="1:4" x14ac:dyDescent="0.25">
      <c r="A265" s="9" t="s">
        <v>31</v>
      </c>
      <c r="B265" s="9"/>
      <c r="C265" s="9"/>
      <c r="D265" s="9"/>
    </row>
    <row r="266" spans="1:4" x14ac:dyDescent="0.25">
      <c r="A266" s="9" t="s">
        <v>32</v>
      </c>
      <c r="B266" s="9"/>
      <c r="C266" s="9"/>
      <c r="D266" s="9"/>
    </row>
    <row r="267" spans="1:4" x14ac:dyDescent="0.25">
      <c r="A267" s="9" t="s">
        <v>33</v>
      </c>
      <c r="B267" s="9"/>
      <c r="C267" s="9"/>
      <c r="D267" s="9"/>
    </row>
    <row r="268" spans="1:4" x14ac:dyDescent="0.25">
      <c r="A268" s="9" t="s">
        <v>34</v>
      </c>
      <c r="B268" s="9"/>
      <c r="C268" s="9"/>
      <c r="D268" s="9"/>
    </row>
    <row r="269" spans="1:4" x14ac:dyDescent="0.25">
      <c r="A269" s="9" t="s">
        <v>35</v>
      </c>
      <c r="B269" s="9"/>
      <c r="C269" s="9"/>
      <c r="D269" s="9"/>
    </row>
    <row r="270" spans="1:4" x14ac:dyDescent="0.25">
      <c r="A270" s="9" t="s">
        <v>36</v>
      </c>
      <c r="B270" s="9"/>
      <c r="C270" s="9"/>
      <c r="D270" s="9"/>
    </row>
    <row r="271" spans="1:4" x14ac:dyDescent="0.25">
      <c r="A271" s="9" t="s">
        <v>37</v>
      </c>
      <c r="B271" s="9"/>
      <c r="C271" s="9"/>
      <c r="D271" s="9"/>
    </row>
    <row r="272" spans="1:4" x14ac:dyDescent="0.25">
      <c r="A272" s="9" t="s">
        <v>38</v>
      </c>
      <c r="B272" s="9"/>
      <c r="C272" s="9"/>
      <c r="D272" s="9"/>
    </row>
    <row r="273" spans="1:4" x14ac:dyDescent="0.25">
      <c r="A273" s="9" t="s">
        <v>40</v>
      </c>
      <c r="B273" s="9"/>
      <c r="C273" s="9"/>
      <c r="D273" s="9"/>
    </row>
    <row r="274" spans="1:4" x14ac:dyDescent="0.25">
      <c r="A274" s="9" t="s">
        <v>39</v>
      </c>
      <c r="B274" s="9"/>
      <c r="C274" s="9"/>
      <c r="D274" s="9"/>
    </row>
    <row r="275" spans="1:4" x14ac:dyDescent="0.25">
      <c r="A275" s="9"/>
      <c r="B275" s="9"/>
      <c r="C275" s="9"/>
      <c r="D275" s="9"/>
    </row>
    <row r="276" spans="1:4" x14ac:dyDescent="0.25">
      <c r="A276" s="9"/>
      <c r="B276" s="9"/>
      <c r="C276" s="9"/>
      <c r="D276" s="9"/>
    </row>
    <row r="277" spans="1:4" x14ac:dyDescent="0.25">
      <c r="A277" s="9"/>
      <c r="B277" s="9"/>
      <c r="C277" s="9"/>
      <c r="D277" s="9"/>
    </row>
    <row r="278" spans="1:4" x14ac:dyDescent="0.25">
      <c r="A278" s="9"/>
      <c r="B278" s="9"/>
      <c r="C278" s="9"/>
      <c r="D278" s="9"/>
    </row>
    <row r="279" spans="1:4" x14ac:dyDescent="0.25">
      <c r="A279" s="9"/>
      <c r="B279" s="9"/>
      <c r="C279" s="9"/>
      <c r="D279" s="9"/>
    </row>
    <row r="280" spans="1:4" x14ac:dyDescent="0.25">
      <c r="A280" s="9"/>
      <c r="B280" s="9"/>
      <c r="C280" s="9"/>
      <c r="D280" s="9"/>
    </row>
    <row r="281" spans="1:4" x14ac:dyDescent="0.25">
      <c r="A281" s="9"/>
      <c r="B281" s="9"/>
      <c r="C281" s="9"/>
      <c r="D281" s="9"/>
    </row>
    <row r="282" spans="1:4" x14ac:dyDescent="0.25">
      <c r="A282" s="9"/>
      <c r="B282" s="9"/>
      <c r="C282" s="9"/>
      <c r="D282" s="9"/>
    </row>
    <row r="288" spans="1:4" x14ac:dyDescent="0.25">
      <c r="A288" t="s">
        <v>9</v>
      </c>
    </row>
    <row r="290" spans="1:4" x14ac:dyDescent="0.25">
      <c r="A290" t="s">
        <v>10</v>
      </c>
      <c r="B290" t="s">
        <v>11</v>
      </c>
    </row>
    <row r="298" spans="1:4" ht="15.75" x14ac:dyDescent="0.25">
      <c r="B298" s="4" t="s">
        <v>4</v>
      </c>
      <c r="C298" s="4"/>
    </row>
    <row r="299" spans="1:4" ht="15.75" x14ac:dyDescent="0.25">
      <c r="B299" s="4" t="s">
        <v>5</v>
      </c>
      <c r="C299" s="4"/>
    </row>
    <row r="300" spans="1:4" x14ac:dyDescent="0.25">
      <c r="A300" s="5" t="s">
        <v>25</v>
      </c>
      <c r="B300" s="5"/>
      <c r="C300" s="5"/>
      <c r="D300" s="5"/>
    </row>
    <row r="301" spans="1:4" x14ac:dyDescent="0.25">
      <c r="A301" s="5"/>
      <c r="B301" s="5" t="s">
        <v>6</v>
      </c>
      <c r="C301" s="5"/>
      <c r="D301" s="5"/>
    </row>
    <row r="302" spans="1:4" x14ac:dyDescent="0.25">
      <c r="A302" s="8" t="s">
        <v>41</v>
      </c>
      <c r="B302" s="8" t="s">
        <v>13</v>
      </c>
      <c r="C302" s="6">
        <v>15</v>
      </c>
    </row>
    <row r="305" spans="1:4" ht="30" x14ac:dyDescent="0.25">
      <c r="A305" s="1" t="s">
        <v>0</v>
      </c>
      <c r="B305" s="2" t="s">
        <v>1</v>
      </c>
      <c r="C305" s="2" t="s">
        <v>2</v>
      </c>
      <c r="D305" s="2" t="s">
        <v>3</v>
      </c>
    </row>
    <row r="306" spans="1:4" x14ac:dyDescent="0.25">
      <c r="A306" s="3" t="s">
        <v>26</v>
      </c>
      <c r="B306" s="1">
        <f>K225</f>
        <v>31204.740000000009</v>
      </c>
      <c r="C306" s="1">
        <f>L225</f>
        <v>25982.589999999997</v>
      </c>
      <c r="D306" s="10">
        <f>M225</f>
        <v>31204.152000000002</v>
      </c>
    </row>
    <row r="307" spans="1:4" x14ac:dyDescent="0.25">
      <c r="A307" s="14" t="s">
        <v>8</v>
      </c>
      <c r="B307" s="15"/>
      <c r="C307" s="16"/>
      <c r="D307" s="10">
        <f>B306-D306</f>
        <v>0.58800000000701402</v>
      </c>
    </row>
    <row r="309" spans="1:4" x14ac:dyDescent="0.25">
      <c r="A309" s="5" t="s">
        <v>27</v>
      </c>
    </row>
    <row r="311" spans="1:4" x14ac:dyDescent="0.25">
      <c r="A311" s="9" t="s">
        <v>28</v>
      </c>
    </row>
    <row r="312" spans="1:4" x14ac:dyDescent="0.25">
      <c r="A312" s="9" t="s">
        <v>29</v>
      </c>
      <c r="B312" s="9"/>
      <c r="C312" s="9"/>
      <c r="D312" s="9"/>
    </row>
    <row r="313" spans="1:4" x14ac:dyDescent="0.25">
      <c r="A313" s="9" t="s">
        <v>30</v>
      </c>
      <c r="B313" s="9"/>
      <c r="C313" s="9"/>
      <c r="D313" s="9"/>
    </row>
    <row r="314" spans="1:4" x14ac:dyDescent="0.25">
      <c r="A314" s="9" t="s">
        <v>31</v>
      </c>
      <c r="B314" s="9"/>
      <c r="C314" s="9"/>
      <c r="D314" s="9"/>
    </row>
    <row r="315" spans="1:4" x14ac:dyDescent="0.25">
      <c r="A315" s="9" t="s">
        <v>32</v>
      </c>
      <c r="B315" s="9"/>
      <c r="C315" s="9"/>
      <c r="D315" s="9"/>
    </row>
    <row r="316" spans="1:4" x14ac:dyDescent="0.25">
      <c r="A316" s="9" t="s">
        <v>33</v>
      </c>
      <c r="B316" s="9"/>
      <c r="C316" s="9"/>
      <c r="D316" s="9"/>
    </row>
    <row r="317" spans="1:4" x14ac:dyDescent="0.25">
      <c r="A317" s="9" t="s">
        <v>34</v>
      </c>
      <c r="B317" s="9"/>
      <c r="C317" s="9"/>
      <c r="D317" s="9"/>
    </row>
    <row r="318" spans="1:4" x14ac:dyDescent="0.25">
      <c r="A318" s="9" t="s">
        <v>35</v>
      </c>
      <c r="B318" s="9"/>
      <c r="C318" s="9"/>
      <c r="D318" s="9"/>
    </row>
    <row r="319" spans="1:4" x14ac:dyDescent="0.25">
      <c r="A319" s="9" t="s">
        <v>36</v>
      </c>
      <c r="B319" s="9"/>
      <c r="C319" s="9"/>
      <c r="D319" s="9"/>
    </row>
    <row r="320" spans="1:4" x14ac:dyDescent="0.25">
      <c r="A320" s="9" t="s">
        <v>37</v>
      </c>
      <c r="B320" s="9"/>
      <c r="C320" s="9"/>
      <c r="D320" s="9"/>
    </row>
    <row r="321" spans="1:4" x14ac:dyDescent="0.25">
      <c r="A321" s="9" t="s">
        <v>38</v>
      </c>
      <c r="B321" s="9"/>
      <c r="C321" s="9"/>
      <c r="D321" s="9"/>
    </row>
    <row r="322" spans="1:4" x14ac:dyDescent="0.25">
      <c r="A322" s="9" t="s">
        <v>40</v>
      </c>
      <c r="B322" s="9"/>
      <c r="C322" s="9"/>
      <c r="D322" s="9"/>
    </row>
    <row r="323" spans="1:4" x14ac:dyDescent="0.25">
      <c r="A323" s="9" t="s">
        <v>39</v>
      </c>
      <c r="B323" s="9"/>
      <c r="C323" s="9"/>
      <c r="D323" s="9"/>
    </row>
    <row r="324" spans="1:4" x14ac:dyDescent="0.25">
      <c r="A324" s="9"/>
      <c r="B324" s="9"/>
      <c r="C324" s="9"/>
      <c r="D324" s="9"/>
    </row>
    <row r="325" spans="1:4" x14ac:dyDescent="0.25">
      <c r="A325" s="9"/>
      <c r="B325" s="9"/>
      <c r="C325" s="9"/>
      <c r="D325" s="9"/>
    </row>
    <row r="326" spans="1:4" x14ac:dyDescent="0.25">
      <c r="A326" s="9"/>
      <c r="B326" s="9"/>
      <c r="C326" s="9"/>
      <c r="D326" s="9"/>
    </row>
    <row r="327" spans="1:4" x14ac:dyDescent="0.25">
      <c r="A327" s="9"/>
      <c r="B327" s="9"/>
      <c r="C327" s="9"/>
      <c r="D327" s="9"/>
    </row>
    <row r="328" spans="1:4" x14ac:dyDescent="0.25">
      <c r="A328" s="9"/>
      <c r="B328" s="9"/>
      <c r="C328" s="9"/>
      <c r="D328" s="9"/>
    </row>
    <row r="329" spans="1:4" x14ac:dyDescent="0.25">
      <c r="A329" s="9"/>
      <c r="B329" s="9"/>
      <c r="C329" s="9"/>
      <c r="D329" s="9"/>
    </row>
    <row r="330" spans="1:4" x14ac:dyDescent="0.25">
      <c r="A330" s="9"/>
      <c r="B330" s="9"/>
      <c r="C330" s="9"/>
      <c r="D330" s="9"/>
    </row>
    <row r="331" spans="1:4" x14ac:dyDescent="0.25">
      <c r="A331" s="9"/>
      <c r="B331" s="9"/>
      <c r="C331" s="9"/>
      <c r="D331" s="9"/>
    </row>
    <row r="337" spans="1:2" x14ac:dyDescent="0.25">
      <c r="A337" t="s">
        <v>9</v>
      </c>
    </row>
    <row r="339" spans="1:2" x14ac:dyDescent="0.25">
      <c r="A339" t="s">
        <v>10</v>
      </c>
      <c r="B339" t="s">
        <v>11</v>
      </c>
    </row>
  </sheetData>
  <mergeCells count="7">
    <mergeCell ref="A307:C307"/>
    <mergeCell ref="A13:C13"/>
    <mergeCell ref="A62:C62"/>
    <mergeCell ref="A111:C111"/>
    <mergeCell ref="A160:C160"/>
    <mergeCell ref="A209:C209"/>
    <mergeCell ref="A258:C258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36"/>
  <sheetViews>
    <sheetView tabSelected="1" topLeftCell="A26" workbookViewId="0">
      <selection activeCell="F40" sqref="F40"/>
    </sheetView>
  </sheetViews>
  <sheetFormatPr defaultRowHeight="15" x14ac:dyDescent="0.25"/>
  <cols>
    <col min="1" max="1" width="25.5703125" customWidth="1"/>
    <col min="2" max="2" width="17.140625" customWidth="1"/>
    <col min="3" max="3" width="14.28515625" customWidth="1"/>
    <col min="4" max="4" width="12" customWidth="1"/>
    <col min="5" max="5" width="11.28515625" customWidth="1"/>
    <col min="7" max="7" width="5.42578125" customWidth="1"/>
    <col min="8" max="10" width="8.85546875" hidden="1" customWidth="1"/>
    <col min="14" max="14" width="12.7109375" customWidth="1"/>
    <col min="19" max="19" width="10.5703125" customWidth="1"/>
  </cols>
  <sheetData>
    <row r="4" spans="1:20" ht="15" customHeight="1" x14ac:dyDescent="0.25">
      <c r="B4" s="4" t="s">
        <v>4</v>
      </c>
      <c r="C4" s="4"/>
      <c r="D4" s="4"/>
    </row>
    <row r="5" spans="1:20" ht="15.75" x14ac:dyDescent="0.25">
      <c r="B5" s="4" t="s">
        <v>5</v>
      </c>
      <c r="C5" s="4"/>
      <c r="D5" s="4"/>
    </row>
    <row r="6" spans="1:20" x14ac:dyDescent="0.25">
      <c r="A6" s="17" t="s">
        <v>58</v>
      </c>
      <c r="B6" s="18"/>
      <c r="C6" s="18"/>
      <c r="D6" s="18"/>
      <c r="E6" s="18"/>
    </row>
    <row r="7" spans="1:20" x14ac:dyDescent="0.25">
      <c r="A7" s="5"/>
      <c r="B7" s="5" t="s">
        <v>52</v>
      </c>
      <c r="C7" s="5"/>
      <c r="D7" s="5"/>
      <c r="E7" s="5"/>
    </row>
    <row r="8" spans="1:20" x14ac:dyDescent="0.25">
      <c r="A8" s="8" t="s">
        <v>41</v>
      </c>
      <c r="B8" s="8" t="s">
        <v>7</v>
      </c>
      <c r="C8" s="6">
        <v>2</v>
      </c>
      <c r="D8" s="6"/>
    </row>
    <row r="10" spans="1:20" x14ac:dyDescent="0.25">
      <c r="N10">
        <v>581.80999999999995</v>
      </c>
      <c r="O10">
        <v>19.78</v>
      </c>
      <c r="P10">
        <v>18.78</v>
      </c>
      <c r="R10" t="s">
        <v>56</v>
      </c>
      <c r="S10" t="s">
        <v>62</v>
      </c>
    </row>
    <row r="11" spans="1:20" x14ac:dyDescent="0.25">
      <c r="L11">
        <f>487665.96-188.72-88409.58-1851.52-203053.9-25952.34-604.74-43922.95</f>
        <v>123682.21000000004</v>
      </c>
      <c r="M11">
        <f>375625.09-3766.9-169.25-66147.19-1679.48-158080.7-19743.65-400.9-33415.71</f>
        <v>92221.310000000027</v>
      </c>
      <c r="N11">
        <f>O11+P11</f>
        <v>123681.1698</v>
      </c>
      <c r="O11">
        <f>O10*N10*6</f>
        <v>69049.210800000001</v>
      </c>
      <c r="P11">
        <f>P10*N10*5</f>
        <v>54631.958999999995</v>
      </c>
      <c r="R11">
        <v>569903</v>
      </c>
      <c r="S11">
        <v>42.02</v>
      </c>
      <c r="T11">
        <f>S11*N10*11</f>
        <v>268924.2182</v>
      </c>
    </row>
    <row r="12" spans="1:20" ht="60" x14ac:dyDescent="0.25">
      <c r="A12" s="1" t="s">
        <v>0</v>
      </c>
      <c r="B12" s="2" t="s">
        <v>59</v>
      </c>
      <c r="C12" s="2" t="s">
        <v>60</v>
      </c>
      <c r="D12" s="2" t="s">
        <v>61</v>
      </c>
      <c r="E12" s="2" t="s">
        <v>3</v>
      </c>
      <c r="R12">
        <v>18023.62</v>
      </c>
    </row>
    <row r="13" spans="1:20" ht="32.450000000000003" customHeight="1" x14ac:dyDescent="0.25">
      <c r="A13" s="3" t="s">
        <v>26</v>
      </c>
      <c r="B13" s="1">
        <f>L11</f>
        <v>123682.21000000004</v>
      </c>
      <c r="C13" s="1">
        <f>M11</f>
        <v>92221.310000000027</v>
      </c>
      <c r="D13" s="1">
        <f>T11-B13</f>
        <v>145242.00819999998</v>
      </c>
      <c r="E13" s="10">
        <f>T11</f>
        <v>268924.2182</v>
      </c>
      <c r="R13">
        <v>2683.47</v>
      </c>
    </row>
    <row r="14" spans="1:20" x14ac:dyDescent="0.25">
      <c r="A14" s="3" t="s">
        <v>57</v>
      </c>
      <c r="B14" s="1"/>
      <c r="C14" s="1"/>
      <c r="D14" s="1">
        <f>R17</f>
        <v>611068.09</v>
      </c>
      <c r="E14" s="10">
        <v>611068.1</v>
      </c>
      <c r="R14">
        <v>3198.53</v>
      </c>
    </row>
    <row r="15" spans="1:20" x14ac:dyDescent="0.25">
      <c r="A15" s="19" t="s">
        <v>12</v>
      </c>
      <c r="B15" s="20"/>
      <c r="C15" s="21"/>
      <c r="D15" s="13"/>
      <c r="E15" s="10">
        <f>B13+D13+D14-E13-E14</f>
        <v>-1.0000000009313226E-2</v>
      </c>
      <c r="R15">
        <v>2074.89</v>
      </c>
    </row>
    <row r="16" spans="1:20" x14ac:dyDescent="0.25">
      <c r="R16">
        <v>15184.58</v>
      </c>
    </row>
    <row r="17" spans="1:18" x14ac:dyDescent="0.25">
      <c r="A17" s="5" t="s">
        <v>27</v>
      </c>
      <c r="R17" s="12">
        <f>SUM(R11:R16)</f>
        <v>611068.09</v>
      </c>
    </row>
    <row r="19" spans="1:18" x14ac:dyDescent="0.25">
      <c r="A19" s="9" t="s">
        <v>28</v>
      </c>
    </row>
    <row r="20" spans="1:18" x14ac:dyDescent="0.25">
      <c r="A20" s="9" t="s">
        <v>29</v>
      </c>
      <c r="B20" s="9"/>
      <c r="C20" s="9"/>
      <c r="D20" s="9"/>
      <c r="E20" s="9"/>
    </row>
    <row r="21" spans="1:18" x14ac:dyDescent="0.25">
      <c r="A21" s="9" t="s">
        <v>30</v>
      </c>
      <c r="B21" s="9"/>
      <c r="C21" s="9"/>
      <c r="D21" s="9"/>
      <c r="E21" s="9"/>
    </row>
    <row r="22" spans="1:18" x14ac:dyDescent="0.25">
      <c r="A22" s="9" t="s">
        <v>31</v>
      </c>
      <c r="B22" s="9"/>
      <c r="C22" s="9"/>
      <c r="D22" s="9"/>
      <c r="E22" s="9"/>
    </row>
    <row r="23" spans="1:18" x14ac:dyDescent="0.25">
      <c r="A23" s="9" t="s">
        <v>32</v>
      </c>
      <c r="B23" s="9"/>
      <c r="C23" s="9"/>
      <c r="D23" s="9"/>
      <c r="E23" s="9"/>
    </row>
    <row r="24" spans="1:18" x14ac:dyDescent="0.25">
      <c r="A24" s="9" t="s">
        <v>33</v>
      </c>
      <c r="B24" s="9"/>
      <c r="C24" s="9"/>
      <c r="D24" s="9"/>
      <c r="E24" s="9"/>
    </row>
    <row r="25" spans="1:18" x14ac:dyDescent="0.25">
      <c r="A25" s="9" t="s">
        <v>34</v>
      </c>
      <c r="B25" s="9"/>
      <c r="C25" s="9"/>
      <c r="D25" s="9"/>
      <c r="E25" s="9"/>
    </row>
    <row r="26" spans="1:18" x14ac:dyDescent="0.25">
      <c r="A26" s="9" t="s">
        <v>35</v>
      </c>
      <c r="B26" s="9"/>
      <c r="C26" s="9"/>
      <c r="D26" s="9"/>
      <c r="E26" s="9"/>
    </row>
    <row r="27" spans="1:18" x14ac:dyDescent="0.25">
      <c r="A27" s="9" t="s">
        <v>36</v>
      </c>
      <c r="B27" s="9"/>
      <c r="C27" s="9"/>
      <c r="D27" s="9"/>
      <c r="E27" s="9"/>
    </row>
    <row r="28" spans="1:18" x14ac:dyDescent="0.25">
      <c r="A28" s="9" t="s">
        <v>37</v>
      </c>
      <c r="B28" s="9"/>
      <c r="C28" s="9"/>
      <c r="D28" s="9"/>
      <c r="E28" s="9"/>
    </row>
    <row r="29" spans="1:18" x14ac:dyDescent="0.25">
      <c r="A29" s="9" t="s">
        <v>38</v>
      </c>
      <c r="B29" s="9"/>
      <c r="C29" s="9"/>
      <c r="D29" s="9"/>
      <c r="E29" s="9"/>
    </row>
    <row r="30" spans="1:18" x14ac:dyDescent="0.25">
      <c r="A30" s="9" t="s">
        <v>40</v>
      </c>
      <c r="B30" s="9"/>
      <c r="C30" s="9"/>
      <c r="D30" s="9"/>
      <c r="E30" s="9"/>
    </row>
    <row r="31" spans="1:18" x14ac:dyDescent="0.25">
      <c r="A31" s="9" t="s">
        <v>39</v>
      </c>
      <c r="B31" s="9"/>
      <c r="C31" s="9"/>
      <c r="D31" s="9"/>
      <c r="E31" s="9"/>
    </row>
    <row r="32" spans="1:18" x14ac:dyDescent="0.25">
      <c r="A32" s="9"/>
      <c r="B32" s="9"/>
      <c r="C32" s="9"/>
      <c r="D32" s="9"/>
      <c r="E32" s="9"/>
    </row>
    <row r="33" spans="1:19" x14ac:dyDescent="0.25">
      <c r="A33" s="9"/>
      <c r="B33" s="9"/>
      <c r="C33" s="9"/>
      <c r="D33" s="9"/>
      <c r="E33" s="9"/>
    </row>
    <row r="34" spans="1:19" x14ac:dyDescent="0.25">
      <c r="A34" s="9"/>
      <c r="B34" s="9"/>
      <c r="C34" s="9"/>
      <c r="D34" s="9"/>
      <c r="E34" s="9"/>
    </row>
    <row r="40" spans="1:19" x14ac:dyDescent="0.25">
      <c r="A40" t="s">
        <v>9</v>
      </c>
    </row>
    <row r="42" spans="1:19" x14ac:dyDescent="0.25">
      <c r="A42" t="s">
        <v>10</v>
      </c>
      <c r="B42" t="s">
        <v>11</v>
      </c>
    </row>
    <row r="43" spans="1:19" ht="15" customHeight="1" x14ac:dyDescent="0.25"/>
    <row r="48" spans="1:19" x14ac:dyDescent="0.25">
      <c r="N48">
        <v>3054.9</v>
      </c>
      <c r="O48">
        <v>20.64</v>
      </c>
      <c r="P48">
        <v>19.600000000000001</v>
      </c>
      <c r="R48" t="s">
        <v>55</v>
      </c>
      <c r="S48">
        <v>33.299999999999997</v>
      </c>
    </row>
    <row r="49" spans="1:19" x14ac:dyDescent="0.25">
      <c r="L49">
        <f>3247640.04-54.51-722665.31-111.1-1216520.13-88168.57-1130.58-99136.11-149206.42-2626.16-285542.73-6748.09</f>
        <v>675730.33</v>
      </c>
      <c r="M49">
        <f>2268305.5-3902.39-53.52-490198.31-109.08-873203.15-53165.43-704.9-67545.7-89973.75-1636.93-198475.98</f>
        <v>489336.35999999964</v>
      </c>
      <c r="N49">
        <f>O49+P49</f>
        <v>677699.01600000006</v>
      </c>
      <c r="O49">
        <f>O48*N48*6</f>
        <v>378318.81600000005</v>
      </c>
      <c r="P49">
        <f>P48*N48*5</f>
        <v>299380.20000000007</v>
      </c>
      <c r="R49">
        <v>19982.02</v>
      </c>
      <c r="S49">
        <f>S48*N48*11</f>
        <v>1119009.8699999999</v>
      </c>
    </row>
    <row r="50" spans="1:19" ht="15.75" x14ac:dyDescent="0.25">
      <c r="B50" s="4" t="s">
        <v>4</v>
      </c>
      <c r="C50" s="4"/>
      <c r="D50" s="4"/>
    </row>
    <row r="51" spans="1:19" ht="15.75" customHeight="1" x14ac:dyDescent="0.25">
      <c r="B51" s="4" t="s">
        <v>5</v>
      </c>
      <c r="C51" s="4"/>
      <c r="D51" s="4"/>
      <c r="R51">
        <v>4588.47</v>
      </c>
    </row>
    <row r="52" spans="1:19" x14ac:dyDescent="0.25">
      <c r="A52" s="17" t="s">
        <v>58</v>
      </c>
      <c r="B52" s="18"/>
      <c r="C52" s="18"/>
      <c r="D52" s="18"/>
      <c r="E52" s="18"/>
      <c r="R52">
        <v>2693.33</v>
      </c>
    </row>
    <row r="53" spans="1:19" x14ac:dyDescent="0.25">
      <c r="A53" s="5"/>
      <c r="B53" s="5" t="s">
        <v>52</v>
      </c>
      <c r="C53" s="5"/>
      <c r="D53" s="5"/>
      <c r="E53" s="5"/>
      <c r="R53" s="12">
        <f>SUM(R49:R52)</f>
        <v>27263.82</v>
      </c>
    </row>
    <row r="54" spans="1:19" x14ac:dyDescent="0.25">
      <c r="A54" s="8" t="s">
        <v>53</v>
      </c>
      <c r="B54" s="8" t="s">
        <v>54</v>
      </c>
      <c r="C54" s="6">
        <v>12</v>
      </c>
      <c r="D54" s="6"/>
    </row>
    <row r="57" spans="1:19" ht="60" x14ac:dyDescent="0.25">
      <c r="A57" s="1" t="s">
        <v>0</v>
      </c>
      <c r="B57" s="2" t="s">
        <v>59</v>
      </c>
      <c r="C57" s="2" t="s">
        <v>60</v>
      </c>
      <c r="D57" s="2" t="s">
        <v>61</v>
      </c>
      <c r="E57" s="2" t="s">
        <v>3</v>
      </c>
    </row>
    <row r="58" spans="1:19" x14ac:dyDescent="0.25">
      <c r="A58" s="3" t="s">
        <v>26</v>
      </c>
      <c r="B58" s="1">
        <f>L49</f>
        <v>675730.33</v>
      </c>
      <c r="C58" s="1">
        <f>M49</f>
        <v>489336.35999999964</v>
      </c>
      <c r="D58" s="1">
        <f>S49-B58</f>
        <v>443279.53999999992</v>
      </c>
      <c r="E58" s="10">
        <f>S49</f>
        <v>1119009.8699999999</v>
      </c>
    </row>
    <row r="59" spans="1:19" x14ac:dyDescent="0.25">
      <c r="A59" s="3" t="s">
        <v>57</v>
      </c>
      <c r="B59" s="1"/>
      <c r="C59" s="1"/>
      <c r="D59" s="1">
        <f>R53</f>
        <v>27263.82</v>
      </c>
      <c r="E59" s="10">
        <f>R53</f>
        <v>27263.82</v>
      </c>
    </row>
    <row r="60" spans="1:19" x14ac:dyDescent="0.25">
      <c r="A60" s="19" t="s">
        <v>63</v>
      </c>
      <c r="B60" s="20"/>
      <c r="C60" s="21"/>
      <c r="D60" s="13"/>
      <c r="E60" s="10">
        <f>B58+D58+D59-E58-E59</f>
        <v>6.5483618527650833E-11</v>
      </c>
    </row>
    <row r="62" spans="1:19" x14ac:dyDescent="0.25">
      <c r="A62" s="5" t="s">
        <v>27</v>
      </c>
    </row>
    <row r="64" spans="1:19" x14ac:dyDescent="0.25">
      <c r="A64" s="9" t="s">
        <v>28</v>
      </c>
    </row>
    <row r="65" spans="1:5" x14ac:dyDescent="0.25">
      <c r="A65" s="9" t="s">
        <v>29</v>
      </c>
      <c r="B65" s="9"/>
      <c r="C65" s="9"/>
      <c r="D65" s="9"/>
      <c r="E65" s="9"/>
    </row>
    <row r="66" spans="1:5" x14ac:dyDescent="0.25">
      <c r="A66" s="9" t="s">
        <v>30</v>
      </c>
      <c r="B66" s="9"/>
      <c r="C66" s="9"/>
      <c r="D66" s="9"/>
      <c r="E66" s="9"/>
    </row>
    <row r="67" spans="1:5" x14ac:dyDescent="0.25">
      <c r="A67" s="9" t="s">
        <v>31</v>
      </c>
      <c r="B67" s="9"/>
      <c r="C67" s="9"/>
      <c r="D67" s="9"/>
      <c r="E67" s="9"/>
    </row>
    <row r="68" spans="1:5" x14ac:dyDescent="0.25">
      <c r="A68" s="9" t="s">
        <v>32</v>
      </c>
      <c r="B68" s="9"/>
      <c r="C68" s="9"/>
      <c r="D68" s="9"/>
      <c r="E68" s="9"/>
    </row>
    <row r="69" spans="1:5" x14ac:dyDescent="0.25">
      <c r="A69" s="9" t="s">
        <v>33</v>
      </c>
      <c r="B69" s="9"/>
      <c r="C69" s="9"/>
      <c r="D69" s="9"/>
      <c r="E69" s="9"/>
    </row>
    <row r="70" spans="1:5" x14ac:dyDescent="0.25">
      <c r="A70" s="9" t="s">
        <v>34</v>
      </c>
      <c r="B70" s="9"/>
      <c r="C70" s="9"/>
      <c r="D70" s="9"/>
      <c r="E70" s="9"/>
    </row>
    <row r="71" spans="1:5" x14ac:dyDescent="0.25">
      <c r="A71" s="9" t="s">
        <v>35</v>
      </c>
      <c r="B71" s="9"/>
      <c r="C71" s="9"/>
      <c r="D71" s="9"/>
      <c r="E71" s="9"/>
    </row>
    <row r="72" spans="1:5" x14ac:dyDescent="0.25">
      <c r="A72" s="9" t="s">
        <v>36</v>
      </c>
      <c r="B72" s="9"/>
      <c r="C72" s="9"/>
      <c r="D72" s="9"/>
      <c r="E72" s="9"/>
    </row>
    <row r="73" spans="1:5" x14ac:dyDescent="0.25">
      <c r="A73" s="9" t="s">
        <v>37</v>
      </c>
      <c r="B73" s="9"/>
      <c r="C73" s="9"/>
      <c r="D73" s="9"/>
      <c r="E73" s="9"/>
    </row>
    <row r="74" spans="1:5" x14ac:dyDescent="0.25">
      <c r="A74" s="9" t="s">
        <v>38</v>
      </c>
      <c r="B74" s="9"/>
      <c r="C74" s="9"/>
      <c r="D74" s="9"/>
      <c r="E74" s="9"/>
    </row>
    <row r="75" spans="1:5" x14ac:dyDescent="0.25">
      <c r="A75" s="9" t="s">
        <v>40</v>
      </c>
      <c r="B75" s="9"/>
      <c r="C75" s="9"/>
      <c r="D75" s="9"/>
      <c r="E75" s="9"/>
    </row>
    <row r="76" spans="1:5" x14ac:dyDescent="0.25">
      <c r="A76" s="9" t="s">
        <v>39</v>
      </c>
      <c r="B76" s="9"/>
      <c r="C76" s="9"/>
      <c r="D76" s="9"/>
      <c r="E76" s="9"/>
    </row>
    <row r="77" spans="1:5" x14ac:dyDescent="0.25">
      <c r="A77" s="9"/>
      <c r="B77" s="9"/>
      <c r="C77" s="9"/>
      <c r="D77" s="9"/>
      <c r="E77" s="9"/>
    </row>
    <row r="78" spans="1:5" x14ac:dyDescent="0.25">
      <c r="A78" s="9"/>
      <c r="B78" s="9"/>
      <c r="C78" s="9"/>
      <c r="D78" s="9"/>
      <c r="E78" s="9"/>
    </row>
    <row r="79" spans="1:5" x14ac:dyDescent="0.25">
      <c r="A79" s="9"/>
      <c r="B79" s="9"/>
      <c r="C79" s="9"/>
      <c r="D79" s="9"/>
      <c r="E79" s="9"/>
    </row>
    <row r="80" spans="1:5" x14ac:dyDescent="0.25">
      <c r="A80" s="9"/>
      <c r="B80" s="9"/>
      <c r="C80" s="9"/>
      <c r="D80" s="9"/>
      <c r="E80" s="9"/>
    </row>
    <row r="81" spans="1:19" ht="16.5" customHeight="1" x14ac:dyDescent="0.25">
      <c r="A81" s="9"/>
      <c r="B81" s="9"/>
      <c r="C81" s="9"/>
      <c r="D81" s="9"/>
      <c r="E81" s="9"/>
    </row>
    <row r="86" spans="1:19" x14ac:dyDescent="0.25">
      <c r="N86">
        <v>2410.9</v>
      </c>
      <c r="O86">
        <v>20.64</v>
      </c>
      <c r="P86">
        <v>19.600000000000001</v>
      </c>
      <c r="R86" t="s">
        <v>55</v>
      </c>
      <c r="S86">
        <v>52.79</v>
      </c>
    </row>
    <row r="87" spans="1:19" x14ac:dyDescent="0.25">
      <c r="A87" t="s">
        <v>9</v>
      </c>
      <c r="L87">
        <f>2934949.03-498636.29-962907.8-119851.05-2867.28-151177.95-202833.3-6658.14-445057.5-10105.18</f>
        <v>534854.53999999957</v>
      </c>
      <c r="M87">
        <f>2161500.15-25584.34-356038.26-716785.62-83863.99-1851.02-108190.54-141930.6-4298.21-318525.61</f>
        <v>404431.9600000002</v>
      </c>
      <c r="N87">
        <f>O87+P87</f>
        <v>534834.0560000001</v>
      </c>
      <c r="O87">
        <f>N86*O86*6</f>
        <v>298565.85600000003</v>
      </c>
      <c r="P87">
        <f>N86*P86*5</f>
        <v>236268.20000000004</v>
      </c>
      <c r="R87">
        <v>11468.41</v>
      </c>
      <c r="S87">
        <f>S86*N86*11</f>
        <v>1399985.5210000002</v>
      </c>
    </row>
    <row r="89" spans="1:19" ht="15.75" customHeight="1" x14ac:dyDescent="0.25">
      <c r="A89" t="s">
        <v>10</v>
      </c>
      <c r="B89" t="s">
        <v>11</v>
      </c>
      <c r="R89">
        <v>3381.9</v>
      </c>
    </row>
    <row r="90" spans="1:19" x14ac:dyDescent="0.25">
      <c r="R90">
        <v>19402.16</v>
      </c>
    </row>
    <row r="91" spans="1:19" x14ac:dyDescent="0.25">
      <c r="R91">
        <v>45813.1</v>
      </c>
    </row>
    <row r="92" spans="1:19" x14ac:dyDescent="0.25">
      <c r="R92">
        <v>102334.28</v>
      </c>
    </row>
    <row r="93" spans="1:19" x14ac:dyDescent="0.25">
      <c r="R93">
        <v>77509.73</v>
      </c>
    </row>
    <row r="94" spans="1:19" x14ac:dyDescent="0.25">
      <c r="R94">
        <v>95856.82</v>
      </c>
    </row>
    <row r="95" spans="1:19" x14ac:dyDescent="0.25">
      <c r="R95">
        <v>8525.84</v>
      </c>
    </row>
    <row r="96" spans="1:19" x14ac:dyDescent="0.25">
      <c r="R96">
        <v>19920.669999999998</v>
      </c>
    </row>
    <row r="97" spans="1:18" ht="15.75" x14ac:dyDescent="0.25">
      <c r="B97" s="4" t="s">
        <v>4</v>
      </c>
      <c r="C97" s="4"/>
      <c r="D97" s="4"/>
      <c r="R97">
        <v>19171.36</v>
      </c>
    </row>
    <row r="98" spans="1:18" ht="15.75" x14ac:dyDescent="0.25">
      <c r="B98" s="4" t="s">
        <v>5</v>
      </c>
      <c r="C98" s="4"/>
      <c r="D98" s="4"/>
      <c r="R98">
        <v>587668</v>
      </c>
    </row>
    <row r="99" spans="1:18" x14ac:dyDescent="0.25">
      <c r="A99" s="17" t="s">
        <v>58</v>
      </c>
      <c r="B99" s="18"/>
      <c r="C99" s="18"/>
      <c r="D99" s="18"/>
      <c r="E99" s="18"/>
      <c r="R99">
        <v>1774.65</v>
      </c>
    </row>
    <row r="100" spans="1:18" x14ac:dyDescent="0.25">
      <c r="A100" s="5"/>
      <c r="B100" s="5" t="s">
        <v>52</v>
      </c>
      <c r="C100" s="5"/>
      <c r="D100" s="5"/>
      <c r="E100" s="5"/>
      <c r="R100">
        <v>61260.07</v>
      </c>
    </row>
    <row r="101" spans="1:18" x14ac:dyDescent="0.25">
      <c r="A101" s="8" t="s">
        <v>53</v>
      </c>
      <c r="B101" s="8" t="s">
        <v>54</v>
      </c>
      <c r="C101" s="6">
        <v>13</v>
      </c>
      <c r="D101" s="6"/>
      <c r="R101" s="12">
        <f>SUM(R87:R100)</f>
        <v>1054086.99</v>
      </c>
    </row>
    <row r="104" spans="1:18" ht="60" x14ac:dyDescent="0.25">
      <c r="A104" s="1" t="s">
        <v>0</v>
      </c>
      <c r="B104" s="2" t="s">
        <v>59</v>
      </c>
      <c r="C104" s="2" t="s">
        <v>60</v>
      </c>
      <c r="D104" s="2" t="s">
        <v>61</v>
      </c>
      <c r="E104" s="2" t="s">
        <v>3</v>
      </c>
    </row>
    <row r="105" spans="1:18" x14ac:dyDescent="0.25">
      <c r="A105" s="3" t="s">
        <v>26</v>
      </c>
      <c r="B105" s="1">
        <f>L87</f>
        <v>534854.53999999957</v>
      </c>
      <c r="C105" s="1">
        <f>M87</f>
        <v>404431.9600000002</v>
      </c>
      <c r="D105" s="1">
        <f>S87-B105</f>
        <v>865130.98100000061</v>
      </c>
      <c r="E105" s="10">
        <f>S87</f>
        <v>1399985.5210000002</v>
      </c>
    </row>
    <row r="106" spans="1:18" x14ac:dyDescent="0.25">
      <c r="A106" s="3" t="s">
        <v>57</v>
      </c>
      <c r="B106" s="1"/>
      <c r="C106" s="1"/>
      <c r="D106" s="1">
        <f>R101</f>
        <v>1054086.99</v>
      </c>
      <c r="E106" s="10">
        <v>1054087</v>
      </c>
    </row>
    <row r="107" spans="1:18" x14ac:dyDescent="0.25">
      <c r="A107" s="19" t="s">
        <v>12</v>
      </c>
      <c r="B107" s="20"/>
      <c r="C107" s="21"/>
      <c r="D107" s="13"/>
      <c r="E107" s="10">
        <f>B105+D105+D106-E105-E106</f>
        <v>-1.0000000242143869E-2</v>
      </c>
    </row>
    <row r="109" spans="1:18" x14ac:dyDescent="0.25">
      <c r="A109" s="5" t="s">
        <v>27</v>
      </c>
    </row>
    <row r="111" spans="1:18" x14ac:dyDescent="0.25">
      <c r="A111" s="9" t="s">
        <v>28</v>
      </c>
    </row>
    <row r="112" spans="1:18" x14ac:dyDescent="0.25">
      <c r="A112" s="9" t="s">
        <v>29</v>
      </c>
      <c r="B112" s="9"/>
      <c r="C112" s="9"/>
      <c r="D112" s="9"/>
      <c r="E112" s="9"/>
    </row>
    <row r="113" spans="1:5" x14ac:dyDescent="0.25">
      <c r="A113" s="9" t="s">
        <v>30</v>
      </c>
      <c r="B113" s="9"/>
      <c r="C113" s="9"/>
      <c r="D113" s="9"/>
      <c r="E113" s="9"/>
    </row>
    <row r="114" spans="1:5" x14ac:dyDescent="0.25">
      <c r="A114" s="9" t="s">
        <v>31</v>
      </c>
      <c r="B114" s="9"/>
      <c r="C114" s="9"/>
      <c r="D114" s="9"/>
      <c r="E114" s="9"/>
    </row>
    <row r="115" spans="1:5" x14ac:dyDescent="0.25">
      <c r="A115" s="9" t="s">
        <v>32</v>
      </c>
      <c r="B115" s="9"/>
      <c r="C115" s="9"/>
      <c r="D115" s="9"/>
      <c r="E115" s="9"/>
    </row>
    <row r="116" spans="1:5" x14ac:dyDescent="0.25">
      <c r="A116" s="9" t="s">
        <v>33</v>
      </c>
      <c r="B116" s="9"/>
      <c r="C116" s="9"/>
      <c r="D116" s="9"/>
      <c r="E116" s="9"/>
    </row>
    <row r="117" spans="1:5" x14ac:dyDescent="0.25">
      <c r="A117" s="9" t="s">
        <v>34</v>
      </c>
      <c r="B117" s="9"/>
      <c r="C117" s="9"/>
      <c r="D117" s="9"/>
      <c r="E117" s="9"/>
    </row>
    <row r="118" spans="1:5" x14ac:dyDescent="0.25">
      <c r="A118" s="9" t="s">
        <v>35</v>
      </c>
      <c r="B118" s="9"/>
      <c r="C118" s="9"/>
      <c r="D118" s="9"/>
      <c r="E118" s="9"/>
    </row>
    <row r="119" spans="1:5" x14ac:dyDescent="0.25">
      <c r="A119" s="9" t="s">
        <v>36</v>
      </c>
      <c r="B119" s="9"/>
      <c r="C119" s="9"/>
      <c r="D119" s="9"/>
      <c r="E119" s="9"/>
    </row>
    <row r="120" spans="1:5" x14ac:dyDescent="0.25">
      <c r="A120" s="9" t="s">
        <v>37</v>
      </c>
      <c r="B120" s="9"/>
      <c r="C120" s="9"/>
      <c r="D120" s="9"/>
      <c r="E120" s="9"/>
    </row>
    <row r="121" spans="1:5" x14ac:dyDescent="0.25">
      <c r="A121" s="9" t="s">
        <v>38</v>
      </c>
      <c r="B121" s="9"/>
      <c r="C121" s="9"/>
      <c r="D121" s="9"/>
      <c r="E121" s="9"/>
    </row>
    <row r="122" spans="1:5" x14ac:dyDescent="0.25">
      <c r="A122" s="9" t="s">
        <v>40</v>
      </c>
      <c r="B122" s="9"/>
      <c r="C122" s="9"/>
      <c r="D122" s="9"/>
      <c r="E122" s="9"/>
    </row>
    <row r="123" spans="1:5" x14ac:dyDescent="0.25">
      <c r="A123" s="9" t="s">
        <v>39</v>
      </c>
      <c r="B123" s="9"/>
      <c r="C123" s="9"/>
      <c r="D123" s="9"/>
      <c r="E123" s="9"/>
    </row>
    <row r="124" spans="1:5" x14ac:dyDescent="0.25">
      <c r="A124" s="9"/>
      <c r="B124" s="9"/>
      <c r="C124" s="9"/>
      <c r="D124" s="9"/>
      <c r="E124" s="9"/>
    </row>
    <row r="125" spans="1:5" x14ac:dyDescent="0.25">
      <c r="A125" s="9"/>
      <c r="B125" s="9"/>
      <c r="C125" s="9"/>
      <c r="D125" s="9"/>
      <c r="E125" s="9"/>
    </row>
    <row r="126" spans="1:5" x14ac:dyDescent="0.25">
      <c r="A126" s="9"/>
      <c r="B126" s="9"/>
      <c r="C126" s="9"/>
      <c r="D126" s="9"/>
      <c r="E126" s="9"/>
    </row>
    <row r="127" spans="1:5" x14ac:dyDescent="0.25">
      <c r="A127" s="9"/>
      <c r="B127" s="9"/>
      <c r="C127" s="9"/>
      <c r="D127" s="9"/>
      <c r="E127" s="9"/>
    </row>
    <row r="128" spans="1:5" x14ac:dyDescent="0.25">
      <c r="A128" s="9"/>
      <c r="B128" s="9"/>
      <c r="C128" s="9"/>
      <c r="D128" s="9"/>
      <c r="E128" s="9"/>
    </row>
    <row r="134" spans="1:2" x14ac:dyDescent="0.25">
      <c r="A134" t="s">
        <v>9</v>
      </c>
    </row>
    <row r="136" spans="1:2" x14ac:dyDescent="0.25">
      <c r="A136" t="s">
        <v>10</v>
      </c>
      <c r="B136" t="s">
        <v>11</v>
      </c>
    </row>
  </sheetData>
  <mergeCells count="6">
    <mergeCell ref="A6:E6"/>
    <mergeCell ref="A15:C15"/>
    <mergeCell ref="A60:C60"/>
    <mergeCell ref="A107:C107"/>
    <mergeCell ref="A99:E99"/>
    <mergeCell ref="A52:E5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1-й уч. ситники</vt:lpstr>
      <vt:lpstr>п.сит. ул.центральная</vt:lpstr>
      <vt:lpstr>п.жел. ул.ценртальная</vt:lpstr>
      <vt:lpstr>киселихинский госпиталь</vt:lpstr>
      <vt:lpstr>вокзальная</vt:lpstr>
      <vt:lpstr>садовая</vt:lpstr>
      <vt:lpstr>приречный</vt:lpstr>
      <vt:lpstr>октябрьская</vt:lpstr>
      <vt:lpstr>общежития</vt:lpstr>
      <vt:lpstr>новостройка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2015-03-25T07:02:09Z</dcterms:modified>
</cp:coreProperties>
</file>